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DieseArbeitsmappe" defaultThemeVersion="202300"/>
  <mc:AlternateContent xmlns:mc="http://schemas.openxmlformats.org/markup-compatibility/2006">
    <mc:Choice Requires="x15">
      <x15ac:absPath xmlns:x15ac="http://schemas.microsoft.com/office/spreadsheetml/2010/11/ac" url="D:\niceadvice_gmbh\niceadvice GmbH\Kunden\SBVV\DZV\Freigabeversion\"/>
    </mc:Choice>
  </mc:AlternateContent>
  <xr:revisionPtr revIDLastSave="0" documentId="8_{120DDCDF-3573-4CC8-9981-BD13D5AB4D6B}" xr6:coauthVersionLast="47" xr6:coauthVersionMax="47" xr10:uidLastSave="{00000000-0000-0000-0000-000000000000}"/>
  <workbookProtection workbookAlgorithmName="SHA-512" workbookHashValue="jerl6hOBhl/YX+ZPJUgiDUPb5FFypAXZ9EbdaKR3AuZdhjcEqGQVjSfQM9M+De1OFKeB/Mf1sl5ppEW4F11ATw==" workbookSaltValue="aBWEHrwPZp7ifCLA4/rA4Q==" workbookSpinCount="100000" lockStructure="1"/>
  <bookViews>
    <workbookView showSheetTabs="0" xWindow="-120" yWindow="-120" windowWidth="29040" windowHeight="15720" firstSheet="4" activeTab="4" xr2:uid="{9261F7C4-0709-410D-85F6-B8CD37CAF8DA}"/>
  </bookViews>
  <sheets>
    <sheet name="Listenbereiche" sheetId="3" state="hidden" r:id="rId1"/>
    <sheet name="Berechnungen" sheetId="6" state="hidden" r:id="rId2"/>
    <sheet name="Werte" sheetId="9" state="hidden" r:id="rId3"/>
    <sheet name="Texte" sheetId="8" state="hidden" r:id="rId4"/>
    <sheet name="Intro" sheetId="10" r:id="rId5"/>
    <sheet name="Analysebogen" sheetId="1" r:id="rId6"/>
    <sheet name="Taggeld" sheetId="4" r:id="rId7"/>
    <sheet name="Risiko" sheetId="5" r:id="rId8"/>
    <sheet name="Nachweisformular" sheetId="7" r:id="rId9"/>
  </sheets>
  <definedNames>
    <definedName name="bln_alle_antworten_1">Listenbereiche!$C$15</definedName>
    <definedName name="bln_alle_antworten_2">Listenbereiche!$C$25</definedName>
    <definedName name="bln_alle_antworten_2_a_d">Listenbereiche!$H$25</definedName>
    <definedName name="bln_alle_antworten_3">Listenbereiche!$C$39</definedName>
    <definedName name="bln_erfordernis_iv_erfuellt">Berechnungen!$J$40</definedName>
    <definedName name="bln_erfordernis_taggeld_erfuellt">Berechnungen!$J$20</definedName>
    <definedName name="bln_erfordernis_tod_erfuellt">Berechnungen!$J$59</definedName>
    <definedName name="bln_nachweis_erforderlich">Listenbereiche!$D$16</definedName>
    <definedName name="bln_risiko_erforderlich">Listenbereiche!$D$40</definedName>
    <definedName name="bln_step2_complete">Listenbereiche!$D$28</definedName>
    <definedName name="bln_step3_complete">Listenbereiche!$D$42</definedName>
    <definedName name="bln_taggeld_erforderlich">Listenbereiche!$D$26</definedName>
    <definedName name="_xlnm.Print_Area" localSheetId="5">Analysebogen!$A$1:$R$33</definedName>
    <definedName name="_xlnm.Print_Area" localSheetId="8">Nachweisformular!$A$1:$U$61</definedName>
    <definedName name="f_anz_kinder">Risiko!$J$22</definedName>
    <definedName name="f_frage_1">Analysebogen!$L$10</definedName>
    <definedName name="f_frage_10">Taggeld!$V$11</definedName>
    <definedName name="f_frage_11">Risiko!$V$8</definedName>
    <definedName name="f_frage_12">Risiko!$V$11</definedName>
    <definedName name="f_frage_2">Analysebogen!$L$13</definedName>
    <definedName name="f_frage_3">Analysebogen!$L$16</definedName>
    <definedName name="f_frage_4">Analysebogen!$L$19</definedName>
    <definedName name="f_frage_5">Analysebogen!$L$23</definedName>
    <definedName name="f_frage_6">Analysebogen!$L$26</definedName>
    <definedName name="f_frage_7">Analysebogen!$L$29</definedName>
    <definedName name="f_frage_8">Analysebogen!$L$32</definedName>
    <definedName name="f_frage_9">Taggeld!$V$8</definedName>
    <definedName name="f_sprache">Listenbereiche!$C$61</definedName>
    <definedName name="f_step2_complete">Taggeld!$V$27</definedName>
    <definedName name="f_step3_complete">Risiko!$V$32</definedName>
    <definedName name="l_deckung_k_u">Listenbereiche!$B$55:$B$57</definedName>
    <definedName name="l_janein">Listenbereiche!$B$51:$B$52</definedName>
    <definedName name="l_sprache">Listenbereiche!$B$61:$B$63</definedName>
    <definedName name="m_texte">Texte!$A:$E</definedName>
    <definedName name="total_iv_kapital_anrechenbar">Berechnungen!$E$40</definedName>
    <definedName name="total_iv_rente_anrechenbar">Berechnungen!$E$39</definedName>
    <definedName name="total_taggeld_anrechenbar">Berechnungen!$E$20</definedName>
    <definedName name="total_tod_kapital_anrechenbar">Berechnungen!$E$59</definedName>
    <definedName name="total_tod_rente_anrechenbar">Berechnungen!$E$58</definedName>
    <definedName name="txt_analyse_bem_1">Werte!$C$5</definedName>
    <definedName name="txt_analyse_bem_2">Werte!$C$6</definedName>
    <definedName name="txt_analyse_bem_3">Werte!$C$7</definedName>
    <definedName name="txt_analyse_bem_4">Werte!$C$8</definedName>
    <definedName name="txt_meldung_nachweis">Listenbereiche!$D$17</definedName>
    <definedName name="txt_meldung_nachweis_risiko">Listenbereiche!$D$44</definedName>
    <definedName name="txt_meldung_nachweis_taggeld">Listenbereiche!$D$30</definedName>
    <definedName name="txt_risiko_bem_1">Werte!$C$10</definedName>
    <definedName name="txt_risiko_bem_2">Werte!$C$11</definedName>
    <definedName name="txt_taggeld_bem_1">Werte!$C$9</definedName>
    <definedName name="v_frage_1">Listenbereiche!$C$6</definedName>
    <definedName name="v_frage_10">Listenbereiche!$C$23</definedName>
    <definedName name="v_frage_11">Listenbereiche!$C$36</definedName>
    <definedName name="v_frage_12">Listenbereiche!$C$37</definedName>
    <definedName name="v_frage_2">Listenbereiche!$C$7</definedName>
    <definedName name="v_frage_3">Listenbereiche!$C$8</definedName>
    <definedName name="v_frage_4">Listenbereiche!$C$9</definedName>
    <definedName name="v_frage_5">Listenbereiche!$C$10</definedName>
    <definedName name="v_frage_6">Listenbereiche!$C$11</definedName>
    <definedName name="v_frage_7">Listenbereiche!$C$12</definedName>
    <definedName name="v_frage_8">Listenbereiche!$C$13</definedName>
    <definedName name="v_frage_9">Listenbereiche!$C$22</definedName>
    <definedName name="v_resultat_fragen_1">Listenbereiche!$D$15</definedName>
    <definedName name="v_resultat_fragen_2">Listenbereiche!$D$25</definedName>
    <definedName name="v_resultat_fragen_3">Listenbereiche!$D$39</definedName>
    <definedName name="v_sprachcode">Listenbereiche!$F$61</definedName>
    <definedName name="v_sprache">Listenbereiche!$D$61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8" i="4" l="1"/>
  <c r="W17" i="4"/>
  <c r="J55" i="6"/>
  <c r="J54" i="6"/>
  <c r="J51" i="6"/>
  <c r="J50" i="6"/>
  <c r="E55" i="6"/>
  <c r="E54" i="6"/>
  <c r="E51" i="6"/>
  <c r="E50" i="6"/>
  <c r="J45" i="6"/>
  <c r="J44" i="6"/>
  <c r="J36" i="6"/>
  <c r="J35" i="6"/>
  <c r="J32" i="6"/>
  <c r="J31" i="6"/>
  <c r="E36" i="6"/>
  <c r="E35" i="6"/>
  <c r="E32" i="6"/>
  <c r="E31" i="6"/>
  <c r="E17" i="6"/>
  <c r="E16" i="6"/>
  <c r="E13" i="6"/>
  <c r="E12" i="6"/>
  <c r="C6" i="10"/>
  <c r="C4" i="10"/>
  <c r="C2" i="10"/>
  <c r="D11" i="3"/>
  <c r="D9" i="3"/>
  <c r="D6" i="3"/>
  <c r="C7" i="5"/>
  <c r="F61" i="3"/>
  <c r="D42" i="3" s="1"/>
  <c r="D61" i="3" a="1"/>
  <c r="D61" i="3" s="1"/>
  <c r="D8" i="4" l="1"/>
  <c r="D13" i="3"/>
  <c r="D7" i="3"/>
  <c r="D8" i="3"/>
  <c r="D10" i="3"/>
  <c r="D12" i="3"/>
  <c r="D22" i="3"/>
  <c r="D23" i="3"/>
  <c r="D28" i="3"/>
  <c r="D36" i="3"/>
  <c r="E36" i="3" s="1"/>
  <c r="D37" i="3"/>
  <c r="E37" i="3" s="1"/>
  <c r="C11" i="9"/>
  <c r="C10" i="9"/>
  <c r="B50" i="7"/>
  <c r="B42" i="7"/>
  <c r="B30" i="7"/>
  <c r="B29" i="7"/>
  <c r="B49" i="7"/>
  <c r="B43" i="7"/>
  <c r="Q15" i="1"/>
  <c r="Y2" i="7"/>
  <c r="L7" i="3"/>
  <c r="L6" i="3"/>
  <c r="L8" i="3"/>
  <c r="L9" i="3"/>
  <c r="L10" i="3"/>
  <c r="L11" i="3"/>
  <c r="L12" i="3"/>
  <c r="L13" i="3"/>
  <c r="C4" i="5"/>
  <c r="D8" i="5"/>
  <c r="D11" i="5"/>
  <c r="C15" i="5"/>
  <c r="D32" i="5"/>
  <c r="C2" i="5"/>
  <c r="B6" i="7"/>
  <c r="R37" i="7"/>
  <c r="B18" i="7"/>
  <c r="B24" i="7"/>
  <c r="B33" i="7"/>
  <c r="B51" i="7"/>
  <c r="B58" i="7"/>
  <c r="B38" i="7"/>
  <c r="B3" i="7"/>
  <c r="B5" i="7"/>
  <c r="O37" i="7"/>
  <c r="O8" i="7"/>
  <c r="B39" i="7"/>
  <c r="B9" i="7"/>
  <c r="B40" i="7"/>
  <c r="B10" i="7"/>
  <c r="B41" i="7"/>
  <c r="B11" i="7"/>
  <c r="B44" i="7"/>
  <c r="B12" i="7"/>
  <c r="O44" i="7"/>
  <c r="B13" i="7"/>
  <c r="R44" i="7"/>
  <c r="B14" i="7"/>
  <c r="B45" i="7"/>
  <c r="I17" i="5"/>
  <c r="B16" i="7"/>
  <c r="B46" i="7"/>
  <c r="B27" i="7"/>
  <c r="B48" i="7"/>
  <c r="AF30" i="5"/>
  <c r="B28" i="7"/>
  <c r="B56" i="7"/>
  <c r="G8" i="7"/>
  <c r="B22" i="7"/>
  <c r="B2" i="7"/>
  <c r="B31" i="7"/>
  <c r="L56" i="7"/>
  <c r="O17" i="5"/>
  <c r="B47" i="7"/>
  <c r="B37" i="7"/>
  <c r="X2" i="7"/>
  <c r="L17" i="5"/>
  <c r="R17" i="5"/>
  <c r="U17" i="5"/>
  <c r="X17" i="5"/>
  <c r="AG4" i="5"/>
  <c r="X18" i="5"/>
  <c r="X19" i="5"/>
  <c r="X20" i="5"/>
  <c r="C26" i="5"/>
  <c r="I26" i="5"/>
  <c r="L26" i="5"/>
  <c r="C25" i="5"/>
  <c r="O26" i="5"/>
  <c r="C24" i="5"/>
  <c r="T26" i="5"/>
  <c r="C16" i="5"/>
  <c r="C22" i="5"/>
  <c r="W26" i="5"/>
  <c r="C17" i="5"/>
  <c r="Z26" i="5"/>
  <c r="D11" i="4"/>
  <c r="AG4" i="4"/>
  <c r="B55" i="3"/>
  <c r="B56" i="3"/>
  <c r="B57" i="3"/>
  <c r="AF26" i="4"/>
  <c r="G16" i="4"/>
  <c r="C5" i="9"/>
  <c r="C9" i="9"/>
  <c r="C8" i="9"/>
  <c r="C7" i="9"/>
  <c r="C6" i="9"/>
  <c r="C2" i="4"/>
  <c r="C15" i="4"/>
  <c r="O15" i="1"/>
  <c r="C7" i="4"/>
  <c r="K16" i="4"/>
  <c r="O16" i="4"/>
  <c r="C16" i="4"/>
  <c r="S16" i="4"/>
  <c r="W16" i="4"/>
  <c r="Z16" i="4"/>
  <c r="S17" i="4"/>
  <c r="S18" i="4"/>
  <c r="C21" i="4"/>
  <c r="C4" i="4"/>
  <c r="C22" i="4"/>
  <c r="K22" i="4"/>
  <c r="R22" i="4"/>
  <c r="V22" i="4"/>
  <c r="Y22" i="4"/>
  <c r="D27" i="4"/>
  <c r="B52" i="3"/>
  <c r="B51" i="3"/>
  <c r="D32" i="1"/>
  <c r="D29" i="1"/>
  <c r="D26" i="1"/>
  <c r="D23" i="1"/>
  <c r="D19" i="1"/>
  <c r="D16" i="1"/>
  <c r="C4" i="1"/>
  <c r="D13" i="1"/>
  <c r="D10" i="1"/>
  <c r="C7" i="1"/>
  <c r="C2" i="1"/>
  <c r="J56" i="6" l="1"/>
  <c r="T2" i="7"/>
  <c r="E45" i="6"/>
  <c r="E44" i="6"/>
  <c r="E26" i="6"/>
  <c r="E25" i="6"/>
  <c r="E6" i="6"/>
  <c r="E11" i="3"/>
  <c r="E10" i="3"/>
  <c r="C13" i="3"/>
  <c r="C12" i="3"/>
  <c r="E13" i="3"/>
  <c r="E12" i="3"/>
  <c r="E7" i="3"/>
  <c r="E14" i="6" l="1"/>
  <c r="E56" i="6"/>
  <c r="E37" i="6"/>
  <c r="J37" i="6"/>
  <c r="E18" i="6"/>
  <c r="J33" i="6"/>
  <c r="J46" i="6"/>
  <c r="J52" i="6"/>
  <c r="E52" i="6"/>
  <c r="E46" i="6"/>
  <c r="E33" i="6"/>
  <c r="E27" i="6"/>
  <c r="E8" i="6"/>
  <c r="E59" i="6" l="1"/>
  <c r="R45" i="7" s="1"/>
  <c r="R47" i="7" s="1"/>
  <c r="E58" i="6"/>
  <c r="F58" i="6" s="1"/>
  <c r="E39" i="6"/>
  <c r="F39" i="6" s="1"/>
  <c r="E40" i="6"/>
  <c r="F40" i="6" s="1"/>
  <c r="E20" i="6"/>
  <c r="R38" i="7" l="1"/>
  <c r="R40" i="7" s="1"/>
  <c r="J40" i="6"/>
  <c r="F59" i="6"/>
  <c r="J59" i="6" s="1"/>
  <c r="O38" i="7"/>
  <c r="O40" i="7" s="1"/>
  <c r="O45" i="7"/>
  <c r="O47" i="7" s="1"/>
  <c r="R48" i="7" s="1"/>
  <c r="J20" i="6"/>
  <c r="R27" i="7"/>
  <c r="C37" i="3"/>
  <c r="C36" i="3"/>
  <c r="E23" i="3"/>
  <c r="E22" i="3"/>
  <c r="C23" i="3" a="1"/>
  <c r="C23" i="3" s="1"/>
  <c r="C22" i="3" a="1"/>
  <c r="C22" i="3" s="1"/>
  <c r="E9" i="3"/>
  <c r="E8" i="3"/>
  <c r="E6" i="3"/>
  <c r="C11" i="3"/>
  <c r="C10" i="3"/>
  <c r="C9" i="3"/>
  <c r="C8" i="3"/>
  <c r="C7" i="3"/>
  <c r="C6" i="3"/>
  <c r="R41" i="7" l="1"/>
  <c r="J6" i="3"/>
  <c r="D15" i="3"/>
  <c r="J36" i="3"/>
  <c r="J37" i="3" s="1"/>
  <c r="J22" i="3"/>
  <c r="C15" i="3"/>
  <c r="C39" i="3"/>
  <c r="Y8" i="5" s="1"/>
  <c r="D39" i="3"/>
  <c r="D40" i="3" s="1"/>
  <c r="C25" i="3"/>
  <c r="D25" i="3"/>
  <c r="D26" i="3" s="1"/>
  <c r="Y8" i="4" l="1"/>
  <c r="J7" i="3"/>
  <c r="J8" i="3" s="1"/>
  <c r="J9" i="3" s="1"/>
  <c r="J10" i="3" s="1"/>
  <c r="D44" i="3"/>
  <c r="J23" i="3"/>
  <c r="D30" i="3" s="1"/>
  <c r="D16" i="3"/>
  <c r="R49" i="7" l="1"/>
  <c r="R42" i="7"/>
  <c r="R29" i="7"/>
  <c r="N10" i="1"/>
  <c r="S24" i="7"/>
  <c r="B34" i="7"/>
  <c r="B25" i="7"/>
  <c r="S33" i="7"/>
  <c r="S18" i="7"/>
  <c r="J11" i="3"/>
  <c r="J12" i="3" s="1"/>
  <c r="J13" i="3" s="1"/>
  <c r="D17" i="3" s="1"/>
  <c r="B19"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<sst xmlns="http://schemas.openxmlformats.org/spreadsheetml/2006/main" count="630" uniqueCount="525">
  <si>
    <t>Analyse DZV</t>
  </si>
  <si>
    <t>Frage 1</t>
  </si>
  <si>
    <t>Frage 2</t>
  </si>
  <si>
    <t>Frage 3</t>
  </si>
  <si>
    <t>Frage 4</t>
  </si>
  <si>
    <t>War der Partner am 1. Januar des Beitragsjahrs mit dem Bewirtschafter verheiratet oder in einer eingetragenen Partnerschaft lebend?</t>
  </si>
  <si>
    <t>Frage 5</t>
  </si>
  <si>
    <t>Frage 6</t>
  </si>
  <si>
    <t>Frage 7</t>
  </si>
  <si>
    <t>Resultat</t>
  </si>
  <si>
    <t>Nachweis?</t>
  </si>
  <si>
    <t>l_janein</t>
  </si>
  <si>
    <t>Ja</t>
  </si>
  <si>
    <t>Nein</t>
  </si>
  <si>
    <t>Weiter zu Schritt 2</t>
  </si>
  <si>
    <t>Aufgrund meines Gesundheitszustandes habe ich innerhalb der letzten 5 Jahre einen Vorbehalt für meine beantragte Taggeldversicherung erhalten.</t>
  </si>
  <si>
    <t>Schritt 2: Beurteilung Versicherungsschutz – Taggeldversicherung bei Arbeitsunfähigkeit</t>
  </si>
  <si>
    <t>Antworten Schritt 1</t>
  </si>
  <si>
    <t>Antworten Schritt 2</t>
  </si>
  <si>
    <t>Frage 8</t>
  </si>
  <si>
    <t>Frage 9</t>
  </si>
  <si>
    <t>Weiter zu Schritt 3</t>
  </si>
  <si>
    <t>Aufgrund meines Gesundheitszustandes habe ich innerhalb der letzten 5 Jahre einen Vorbehalt für meine beantragte Risikovorsorge erhalten.</t>
  </si>
  <si>
    <t>Antworten Schritt 3</t>
  </si>
  <si>
    <t>Frage 10</t>
  </si>
  <si>
    <t>Frage 11</t>
  </si>
  <si>
    <t>Listenbereiche</t>
  </si>
  <si>
    <t>Frage 12</t>
  </si>
  <si>
    <t>Erzielte der mitarbeitende Partner im Jahr vor dem Beitragsjahr ein eigenes Einkommen über CHF 22’680?</t>
  </si>
  <si>
    <t>Handelt es sich beim Betrieb um einen Sömmerungs- oder Gemeinschaftsweidebetrieb?</t>
  </si>
  <si>
    <t>Versicherer</t>
  </si>
  <si>
    <t>Produktname/Produktbeschrieb</t>
  </si>
  <si>
    <t>Höhe pro Tag</t>
  </si>
  <si>
    <t>Deckung für</t>
  </si>
  <si>
    <t>l_deckung_k_u</t>
  </si>
  <si>
    <t>Krankheit</t>
  </si>
  <si>
    <t>Unfall</t>
  </si>
  <si>
    <t>Krankheit und Unfall</t>
  </si>
  <si>
    <t>Taggeldbereich extern</t>
  </si>
  <si>
    <t>Summe Krankheit &gt;= 60</t>
  </si>
  <si>
    <t>TOTAL extern</t>
  </si>
  <si>
    <t>Berechnungen</t>
  </si>
  <si>
    <t>TOTAL Taggeld anrechenbar</t>
  </si>
  <si>
    <t>Abgeschlossen?</t>
  </si>
  <si>
    <t>Wartefrist in Tagen</t>
  </si>
  <si>
    <t>Pensionskasse</t>
  </si>
  <si>
    <t>IV-Rente</t>
  </si>
  <si>
    <t>Kinder IV-Rente</t>
  </si>
  <si>
    <t>Waisen-Rente</t>
  </si>
  <si>
    <t>Hinterlass.-Rente</t>
  </si>
  <si>
    <t>Todesfall-Kapital</t>
  </si>
  <si>
    <t>Weiter zur Auswertung</t>
  </si>
  <si>
    <t>Sonstige, private Versicherungsleistungen</t>
  </si>
  <si>
    <t>Pensionskasse: Risikoleistungen aus Erwerbseinkommen ausserhalb des Landwirtschaftsbetriebes</t>
  </si>
  <si>
    <t>Invalidität</t>
  </si>
  <si>
    <t>IV-Kapital</t>
  </si>
  <si>
    <t>Extern</t>
  </si>
  <si>
    <t>Risikoleistungen IV extern</t>
  </si>
  <si>
    <t>Anzahl rentenberechtigte Kinder:</t>
  </si>
  <si>
    <t>IV-Rente Krankheit</t>
  </si>
  <si>
    <t>IV-Rente Krankheit und Unfall</t>
  </si>
  <si>
    <t>IV-Kinderrente Krankheit</t>
  </si>
  <si>
    <t>TOTAL extern IV Renten</t>
  </si>
  <si>
    <t>IV-Kapital Krankheit</t>
  </si>
  <si>
    <t>IV-Kapital Krankheit und Unfall</t>
  </si>
  <si>
    <t>Risikoleistungen IV privat</t>
  </si>
  <si>
    <t>Risikoleistungen Tod extern</t>
  </si>
  <si>
    <t>HL-Rente Krankheit</t>
  </si>
  <si>
    <t>HL-Rente Krankheit und Unfall</t>
  </si>
  <si>
    <t>Waisenrente Krankheit</t>
  </si>
  <si>
    <t>TOTAL IV Renten anrechenbar</t>
  </si>
  <si>
    <t>TOTAL IV Kapital anrechenbar</t>
  </si>
  <si>
    <t>Erfordernis IV Rente/Kapital erfüllt?</t>
  </si>
  <si>
    <t>Tod-Kapital Krankheit</t>
  </si>
  <si>
    <t>Tod-Kapital Krankheit und Unfall</t>
  </si>
  <si>
    <t>TOTAL Tod Kapital extern</t>
  </si>
  <si>
    <t>Risikoleistungen Tod privat</t>
  </si>
  <si>
    <t>TOTAL HL Renten anrechenbar</t>
  </si>
  <si>
    <t>TOTAL Tod Kapital anrechenbar</t>
  </si>
  <si>
    <t>Erfordernis Tod Rente/Kapital erfüllt?</t>
  </si>
  <si>
    <t>Nachweisformular</t>
  </si>
  <si>
    <t>für den Versicherungsschutz Direktzahlungen</t>
  </si>
  <si>
    <t>Anrede</t>
  </si>
  <si>
    <t>Name</t>
  </si>
  <si>
    <t>Vorname</t>
  </si>
  <si>
    <t xml:space="preserve">Adresse </t>
  </si>
  <si>
    <t>PLZ / Ort</t>
  </si>
  <si>
    <t>Bewirtschafter/in</t>
  </si>
  <si>
    <t xml:space="preserve">Partner vom Nachweis eines obligatorischen Versicherungsschutzes betroffen? </t>
  </si>
  <si>
    <t>Resulat Abklärung Taggeldversicherung</t>
  </si>
  <si>
    <t>Resulat Abklärung Versicherungsschutz</t>
  </si>
  <si>
    <t>Meldung</t>
  </si>
  <si>
    <t>Ist der Nachweis über einen Taggeld-Mindestversicherungsschutz erforderlich?</t>
  </si>
  <si>
    <t>Ist erster</t>
  </si>
  <si>
    <t>Erforderlicher Taggeldschutz</t>
  </si>
  <si>
    <t>Erfordernis Taggeld erfüllt?</t>
  </si>
  <si>
    <t>Resulat Abklärung Schutz bei Invalidität und Tod</t>
  </si>
  <si>
    <t>Ist der Nachweis über einen Risiko-Mindestversicherungsschutz erforderlich?</t>
  </si>
  <si>
    <t>Kapital</t>
  </si>
  <si>
    <t>Vorhandener Invaliditäts-Schutz</t>
  </si>
  <si>
    <t>Tod</t>
  </si>
  <si>
    <t>Rente</t>
  </si>
  <si>
    <t>Erforderlicher Invaliditäts-Schutz (Kombination möglich)</t>
  </si>
  <si>
    <t>Deckung in %</t>
  </si>
  <si>
    <t>Deckung TOTAL in %</t>
  </si>
  <si>
    <t>Arbeitgeber</t>
  </si>
  <si>
    <t>Ist der Partner im Jahr 1972 oder früher geboren?</t>
  </si>
  <si>
    <t>Haben wir in der Steuererklärung angegeben, dass der Partner regelmässig und in beträchtlichem Masse im Landwirtschaftsbetrieb mitarbeitet?</t>
  </si>
  <si>
    <t>Sömmerungs- oder Gemeinschaftsweidebetrieb</t>
  </si>
  <si>
    <t>Wurden alle Angaben zu den Taggeldversicherungen erfasst?</t>
  </si>
  <si>
    <t>KKTG vorhanden?</t>
  </si>
  <si>
    <t>Todesfall-Kapital: Deckung für</t>
  </si>
  <si>
    <t>Wurden alle Angaben zu den Risikoversicherungen erfasst?</t>
  </si>
  <si>
    <t>Vorhandener Todesfall-Schutz</t>
  </si>
  <si>
    <t>Erforderlicher Todesfalls-Schutz (Kombination möglich)</t>
  </si>
  <si>
    <t>Partner/in</t>
  </si>
  <si>
    <t>Vorhandener Taggeldschutz</t>
  </si>
  <si>
    <t>Kollektivkrankentaggeldversicherungen (KKTG) bei Erwerbseinkommen ausserhalb des Landwirtschaftsbetriebes</t>
  </si>
  <si>
    <t>Lohn</t>
  </si>
  <si>
    <t>Summe Krankheit &lt;= 60</t>
  </si>
  <si>
    <t>Summe Krankheit und Unfall &lt;= 60</t>
  </si>
  <si>
    <t>Summe Unfall &lt;= 60</t>
  </si>
  <si>
    <t>IV-Kapital Unfall</t>
  </si>
  <si>
    <t>TOTAL IV Kapital Krankheit privat</t>
  </si>
  <si>
    <t>TOTAL IV Kapital Unfall privat</t>
  </si>
  <si>
    <t>IV-Rente Unfall</t>
  </si>
  <si>
    <t>IV: Deckung für</t>
  </si>
  <si>
    <t>Todesfall: Deckung für</t>
  </si>
  <si>
    <t>Tod-Kapital Unfall</t>
  </si>
  <si>
    <t>TOTAL Tod Kapital extern Unfall</t>
  </si>
  <si>
    <t>TOTAL Tod Kapital extern Krankheit</t>
  </si>
  <si>
    <t>HL-Rente Unfall</t>
  </si>
  <si>
    <t>Datum / Unterschrift Bewirtschafter/in</t>
  </si>
  <si>
    <t>Datum / Unterschrift Partner/in</t>
  </si>
  <si>
    <t>Höhe in % des Lohnes</t>
  </si>
  <si>
    <t>Die Fragen richten sich an den Partner des Bewirtschafters. Wird eine der beiden Fragen mit "Ja" beantwortet, ist für den Partner der Nachweis eines Taggeldversicherungsschutzes nicht erforderlich.</t>
  </si>
  <si>
    <t>Die Fragen richten sich an den Partner des Bewirtschafters. Wird eine der beiden Fragen mit "Ja" beantwortet, ist für den Partner der Nachweis für einen Risikovorsorgeschutz nicht erforderlich.</t>
  </si>
  <si>
    <t>zurück</t>
  </si>
  <si>
    <t>TOTAL IV Renten Krankheit privat</t>
  </si>
  <si>
    <t>TOTAL IV Renten Unfall privat</t>
  </si>
  <si>
    <t>TOTAL HL Renten Krankheit privat</t>
  </si>
  <si>
    <t>TOTAL HL Renten Unfall privat</t>
  </si>
  <si>
    <t>Geburtsdatum</t>
  </si>
  <si>
    <t>Taggeldbereich privat</t>
  </si>
  <si>
    <t>TOTAL Unfall privat</t>
  </si>
  <si>
    <t>TOTAL Krankheit privat</t>
  </si>
  <si>
    <t>TOTAL HL Renten extern</t>
  </si>
  <si>
    <t>Bez</t>
  </si>
  <si>
    <t>DE</t>
  </si>
  <si>
    <t>FR</t>
  </si>
  <si>
    <t>IT</t>
  </si>
  <si>
    <t>EN</t>
  </si>
  <si>
    <t>l_sprache</t>
  </si>
  <si>
    <t>Wert</t>
  </si>
  <si>
    <t>Index</t>
  </si>
  <si>
    <t>Sprachcode</t>
  </si>
  <si>
    <t>txt_analyse_1</t>
  </si>
  <si>
    <t>Für das Ausfüllen bitten wir Sie, die Steuererklärungen der letzten zwei Jahre, aktuelle Versicherungspolicen sowie Unterlagen zu bestehenden Anstellungsverhältnissen bereitzuhalten.</t>
  </si>
  <si>
    <t>txt_analyse_2</t>
  </si>
  <si>
    <t>txt_analyse_3</t>
  </si>
  <si>
    <t>txt_analyse_4</t>
  </si>
  <si>
    <t>txt_analyse_5</t>
  </si>
  <si>
    <t>txt_analyse_6</t>
  </si>
  <si>
    <t>txt_analyse_7</t>
  </si>
  <si>
    <t>txt_analyse_8</t>
  </si>
  <si>
    <t>txt_analyse_9</t>
  </si>
  <si>
    <t>txt_analyse_10</t>
  </si>
  <si>
    <t>txt_analyse_11</t>
  </si>
  <si>
    <t>txt_analyse_12</t>
  </si>
  <si>
    <t>Im Sinne der Lesbarkeit wird im Folgenden für Ehepartnerin, Ehepartner, eingetragene Partnerin und eingetragener Partner ausschliesslich der Begriff Partner verwendet.</t>
  </si>
  <si>
    <t>Ist der Partner im kantonalen Agrardatensystem als mitbewirtschaftende Person des Betriebes erfasst?</t>
  </si>
  <si>
    <t>War unser steuerbares Einkommen für die direkte Bundessteuer im Durchschnitt der letzten zwei Jahren höher als CHF 12'000?</t>
  </si>
  <si>
    <t>Wird der Betrieb in Form einer juristischen Person gemäss Art. 3 Abs. 3 DZV (bspw.  AG, GmbH, Genossenschaft) geführt?</t>
  </si>
  <si>
    <t>Bitte alle Fragen beantworten.</t>
  </si>
  <si>
    <t>Der Nachweis über einen Mindestversicherungsschutz des Partners ist erforderlich! Bitte fahren Sie mit der Analyse weiter!</t>
  </si>
  <si>
    <t>Der Nachweis über einen Mindestversicherungsschutz des Partners ist nicht erforderlich!</t>
  </si>
  <si>
    <t>Sprache</t>
  </si>
  <si>
    <t>Texte</t>
  </si>
  <si>
    <t>Werte</t>
  </si>
  <si>
    <t>txt_analyse_bem_1</t>
  </si>
  <si>
    <t>txt_analyse_bem_2</t>
  </si>
  <si>
    <t>txt_analyse_bem_3</t>
  </si>
  <si>
    <t>txt_analyse_bem_4</t>
  </si>
  <si>
    <t>txt_taggeld_1</t>
  </si>
  <si>
    <t>txt_taggeld_2</t>
  </si>
  <si>
    <t>txt_taggeld_3</t>
  </si>
  <si>
    <t>txt_taggeld_4</t>
  </si>
  <si>
    <t>txt_taggeld_5</t>
  </si>
  <si>
    <t>txt_taggeld_6</t>
  </si>
  <si>
    <t>Der Nachweis über einen Taggeld-Mindestversicherungsschutz des Partners ist erforderlich und die untenstehenden Daten sind vollständig zu erfassen!</t>
  </si>
  <si>
    <t>Der Nachweis über einen Taggeld-Mindestversicherungsschutz des Partners ist nicht erforderlich! Weiterfahren mit Schritt 3.</t>
  </si>
  <si>
    <t>txt_taggeld_7</t>
  </si>
  <si>
    <t>txt_taggeld_8</t>
  </si>
  <si>
    <t>Bruttojahreslohnsumme</t>
  </si>
  <si>
    <t>txt_taggeld_bem_1</t>
  </si>
  <si>
    <t>Hinweis: Rentenleistungen sind als Jahresrenten anzugeben.</t>
  </si>
  <si>
    <t>txt_risiko_1</t>
  </si>
  <si>
    <t>txt_risiko_2</t>
  </si>
  <si>
    <t>txt_risiko_3</t>
  </si>
  <si>
    <t>txt_risiko_4</t>
  </si>
  <si>
    <t>txt_risiko_5</t>
  </si>
  <si>
    <t>txt_risiko_6</t>
  </si>
  <si>
    <t>txt_risiko_7</t>
  </si>
  <si>
    <t>Der Nachweis über einen Risiko-Mindestversicherungsschutz des Partners ist erforderlich und die untenstehenden Daten sind vollständig zu erfassen!</t>
  </si>
  <si>
    <t>Der Nachweis über einen Risiko-Mindestversicherungsschutz des Partners ist nicht erforderlich! Weiter zur Auswertung.</t>
  </si>
  <si>
    <t>txt_risiko_8</t>
  </si>
  <si>
    <t>Organisation</t>
  </si>
  <si>
    <t>Ersteller / Telefon</t>
  </si>
  <si>
    <t>txt_nachweis_1</t>
  </si>
  <si>
    <t>txt_nachweis_2</t>
  </si>
  <si>
    <t>txt_nachweis_4</t>
  </si>
  <si>
    <t>txt_nachweis_7</t>
  </si>
  <si>
    <t>txt_nachweis_8</t>
  </si>
  <si>
    <t>txt_nachweis_9</t>
  </si>
  <si>
    <t>txt_nachweis_10</t>
  </si>
  <si>
    <t>txt_nachweis_11</t>
  </si>
  <si>
    <t>Grund:</t>
  </si>
  <si>
    <t>JA_gross</t>
  </si>
  <si>
    <t>JA</t>
  </si>
  <si>
    <t>NEIN</t>
  </si>
  <si>
    <t>NEIN_gross</t>
  </si>
  <si>
    <t>Nicht verheiratet oder keine eingetragene Partnerschaft</t>
  </si>
  <si>
    <t>1972 oder früher geboren</t>
  </si>
  <si>
    <t>Partner als Mitbewirtschafter im Kantonssystem erfasst</t>
  </si>
  <si>
    <t>Steuererklärung: Keine Mitarbeit</t>
  </si>
  <si>
    <t>Einkommen über Schwellenwert</t>
  </si>
  <si>
    <t>Steuerbares Einkommen tiefer als CHF 12'000</t>
  </si>
  <si>
    <t>Betrieb ist eine juristische Person</t>
  </si>
  <si>
    <t>Text</t>
  </si>
  <si>
    <t>Vorbehalt vorhanden</t>
  </si>
  <si>
    <t>Refus formulé</t>
  </si>
  <si>
    <t>Vorbehalt liegt vor</t>
  </si>
  <si>
    <t>L'exploitation est une personne morale</t>
  </si>
  <si>
    <t>Revenu imposable inférieur à CHF 12 000</t>
  </si>
  <si>
    <t>Revenu supérieur au seuil</t>
  </si>
  <si>
    <t>Reddito superiore alla soglia</t>
  </si>
  <si>
    <t>Partenaire enregistré comme co-exploitant dans le système cantonal</t>
  </si>
  <si>
    <t>Partner registrato come co-gestore nel sistema cantonale</t>
  </si>
  <si>
    <t>Né(e) en 1972 ou avant</t>
  </si>
  <si>
    <t>Non marié(e) ou pas de partenariat enregistré</t>
  </si>
  <si>
    <t>Exploitation d'estivage ou de pâturage communautaire</t>
  </si>
  <si>
    <t>Date / Signature du partenaire</t>
  </si>
  <si>
    <t>Date / Signature de l'exploitant</t>
  </si>
  <si>
    <t>Couverture pour le décès requise (combinaison possible)</t>
  </si>
  <si>
    <t>Copertura necessaria in caso di decesso (combinazione possibile)</t>
  </si>
  <si>
    <t>Couverture de décès existante</t>
  </si>
  <si>
    <t>Copertura esistente in caso di decesso</t>
  </si>
  <si>
    <t>Décès</t>
  </si>
  <si>
    <t>Decesso</t>
  </si>
  <si>
    <t>Couverture TOTALE en %</t>
  </si>
  <si>
    <t>Copertura TOTALE in %</t>
  </si>
  <si>
    <t>Couverture en %</t>
  </si>
  <si>
    <t>Copertura in %</t>
  </si>
  <si>
    <t>Couverture d'invalidité requise (combinaison possible)</t>
  </si>
  <si>
    <t>Couverture d'invalidité existante</t>
  </si>
  <si>
    <t>Capital</t>
  </si>
  <si>
    <t>Capitale</t>
  </si>
  <si>
    <t>Rendita</t>
  </si>
  <si>
    <t>Invalidité</t>
  </si>
  <si>
    <t>Invalidità</t>
  </si>
  <si>
    <t>Résultat de l'évaluation de la couverture en cas d'invalidité et de décès</t>
  </si>
  <si>
    <t>Risultato della verifica della copertura in caso di invalidità e decesso</t>
  </si>
  <si>
    <t>Erforderlicher Schutz Taggeldversicherung</t>
  </si>
  <si>
    <t>Couverture requise assurance indemnités journalières</t>
  </si>
  <si>
    <t>Vorhandener Schutz Taggeldversicherung</t>
  </si>
  <si>
    <t>Couverture existante assurance indemnités journalières</t>
  </si>
  <si>
    <t>Resultat Abklärung Taggeldversicherung</t>
  </si>
  <si>
    <t>Résultat de l'évaluation de l'assurance indemnités journalières</t>
  </si>
  <si>
    <t>Date de naissance</t>
  </si>
  <si>
    <t>Data di nascita</t>
  </si>
  <si>
    <t>Code postal / Localité</t>
  </si>
  <si>
    <t>CAP / Località</t>
  </si>
  <si>
    <t xml:space="preserve">Indirizzo </t>
  </si>
  <si>
    <t>Prénom</t>
  </si>
  <si>
    <t>Nome</t>
  </si>
  <si>
    <t>Nom</t>
  </si>
  <si>
    <t>Cognome</t>
  </si>
  <si>
    <t>Titre</t>
  </si>
  <si>
    <t>Titolo</t>
  </si>
  <si>
    <t>Partenaire</t>
  </si>
  <si>
    <t>Partner</t>
  </si>
  <si>
    <t>Exploitant</t>
  </si>
  <si>
    <t>Gestore/trice</t>
  </si>
  <si>
    <t>Organizzazione</t>
  </si>
  <si>
    <t>Créateur / Téléphone</t>
  </si>
  <si>
    <t>Autore / Telefono</t>
  </si>
  <si>
    <t>für den Versicherungsschutz Partner gemäss Direktzahlungsverordnung</t>
  </si>
  <si>
    <t>pour la couverture d'assurance des partenaires conformément à l'ordonnance sur les paiement directs</t>
  </si>
  <si>
    <t>Formulaire de preuve</t>
  </si>
  <si>
    <t>Decesso: Copertura per</t>
  </si>
  <si>
    <t>AI: Copertura per</t>
  </si>
  <si>
    <t>Capital AI</t>
  </si>
  <si>
    <t>Capitale AI</t>
  </si>
  <si>
    <t>Capital de décès: Couverture pour</t>
  </si>
  <si>
    <t>Capitale in caso di decesso: Copertura per</t>
  </si>
  <si>
    <t>Capital de décès</t>
  </si>
  <si>
    <t>Capitale in caso di decesso</t>
  </si>
  <si>
    <t>Rente d'orphelin</t>
  </si>
  <si>
    <t>Rendita per orfani</t>
  </si>
  <si>
    <t>Rente de survivant</t>
  </si>
  <si>
    <t>Rendita per superstiti</t>
  </si>
  <si>
    <t>Rente d'enfants AI</t>
  </si>
  <si>
    <t>Rente AI</t>
  </si>
  <si>
    <t>Rendita AI</t>
  </si>
  <si>
    <t>Caisse de pension</t>
  </si>
  <si>
    <t>Nombre d'enfants ayant droit à une rente:</t>
  </si>
  <si>
    <t>Salaire annuel brut</t>
  </si>
  <si>
    <t>Passer à l'étape 3</t>
  </si>
  <si>
    <t>Maladie et accident</t>
  </si>
  <si>
    <t>Malattia e infortunio</t>
  </si>
  <si>
    <t>Accident</t>
  </si>
  <si>
    <t>Infortunio</t>
  </si>
  <si>
    <t>Retour</t>
  </si>
  <si>
    <t>Indietro</t>
  </si>
  <si>
    <t>Nom du produit/Description du produit</t>
  </si>
  <si>
    <t>Nome del prodotto/Descrizione del prodotto</t>
  </si>
  <si>
    <t>Assureur</t>
  </si>
  <si>
    <t>Assicuratore</t>
  </si>
  <si>
    <t>Externe</t>
  </si>
  <si>
    <t>Esterno</t>
  </si>
  <si>
    <t>Maladie</t>
  </si>
  <si>
    <t>Malattia</t>
  </si>
  <si>
    <t>Délai d‘attente en jours</t>
  </si>
  <si>
    <t>Periodo di attesa in giorni</t>
  </si>
  <si>
    <t>Montant par jour</t>
  </si>
  <si>
    <t>Importo giornaliero</t>
  </si>
  <si>
    <t>Couverture pour</t>
  </si>
  <si>
    <t>Copertura per</t>
  </si>
  <si>
    <t>Montant en % du salaire</t>
  </si>
  <si>
    <t>AIJM collective disponible?</t>
  </si>
  <si>
    <t>AIGM collettiva disponibile?</t>
  </si>
  <si>
    <t>Salaire</t>
  </si>
  <si>
    <t>Salario</t>
  </si>
  <si>
    <t>Employeur</t>
  </si>
  <si>
    <t>Datore di lavoro</t>
  </si>
  <si>
    <t>Langue</t>
  </si>
  <si>
    <t>Lingua</t>
  </si>
  <si>
    <t>Analyse Erfordernis Versicherungsschutz des Partners gemäss Direktzahlungsverordnung</t>
  </si>
  <si>
    <t>Analyse des exigences en matière de couverture d'assurance du partenaire conformément à l'ordonnance sur les paiements directs</t>
  </si>
  <si>
    <t>Pour faciliter la lecture, le terme «partenaire» est utilisé ci-après pour désigner exclusivement l'épouse, l'époux, la partenaire enregistrée et le partenaire enregistré.</t>
  </si>
  <si>
    <t>Pour remplir le formulaire, veuillez vous munir des déclarations fiscales des deux dernières années, des polices d'assurance actuelles et des documents relatifs aux contrats de travail existants.</t>
  </si>
  <si>
    <t>Il partner è nato nel 1972 o prima?</t>
  </si>
  <si>
    <t>Le partenaire est-il enregistré dans le système cantonal de données agricoles comme co-exploitant?</t>
  </si>
  <si>
    <t>Il partner è registrato nel sistema cantonale dei dati agricoli come co-gestore?</t>
  </si>
  <si>
    <t>Avons-nous indiqué dans la déclaration d'impôt que le partenaire travaille régulièrement et de manière significative dans l'exploitation agricole?</t>
  </si>
  <si>
    <t>Le partenaire collaborant a-t-il réalisé un revenu propre supérieur à CHF 22 680 au cours de l'année précédant l'année de contribution?</t>
  </si>
  <si>
    <t>L'exploitation est-elle gérée sous la forme d'une personne morale au sens de l'art. 3, al. 3, OPD (par exemple SA, Sàrl, coopérative)?</t>
  </si>
  <si>
    <t>Veuillez répondre à toutes les questions.</t>
  </si>
  <si>
    <t>La preuve d'une couverture d'assurance minimale du partenaire est requise! Veuillez poursuivre l'analyse!</t>
  </si>
  <si>
    <t>La preuve d'une couverture d'assurance minimale du partenaire n'est pas nécessaire !</t>
  </si>
  <si>
    <t>Non è necessario dimostrare che il partner disponga di una copertura assicurativa minima!</t>
  </si>
  <si>
    <t>Passez à l'étape 2</t>
  </si>
  <si>
    <t>Passare alla fase 2</t>
  </si>
  <si>
    <t>Oui</t>
  </si>
  <si>
    <t>Sì</t>
  </si>
  <si>
    <t>Non</t>
  </si>
  <si>
    <t>No</t>
  </si>
  <si>
    <t>Le facteur déterminant est la demande de déduction pour double revenu dans la déclaration d'impôt.</t>
  </si>
  <si>
    <t xml:space="preserve">Massgebend ist das jährliche AHV-pflichtige Einkommen. Unabhängig, ob dieses vom Betrieb oder von einer externen Tätigkeit stammt. Bei mehreren Tätigkeiten werden die Einkommen zusammengezählt. Respektive:
Massgebend ist der AHV-pflichtige Lohn. Unabhängig, ob dieser vom Betrieb oder von einer externen Anstellung stammt. Bei mehreren Anstellungen werden die Löhne zusammengezählt. </t>
  </si>
  <si>
    <t>C'est le revenu annuel soumis à l'AVS qui est pris en compte, qu'il provienne de l'entreprise ou d'une activité externe. En cas d'activités multiples, les revenus sont additionnés. Ou: C'est le salaire soumis à l'AVS qui est pris en compte, qu'il provienne de l'entreprise ou d'un emploi externe. En cas d'emplois multiples, les salaires sont additionnés.</t>
  </si>
  <si>
    <t>Il convient de distinguer les «personnes morales pures» (art. 3, al. 3, ODP) des «sociétés anonymes et sociétés à responsabilité limitée familiales» (art. 3, al. 2, OCP). Seules les personnes morales pures sont exemptées de cette obligation. Dans le cas des SA et Sàrl familiales, il y a des personnes physiques qui doivent, par exemple, également satisfaire à la limite d'âge ou aux exigences de formation, et l'obligation d'assurance s'applique donc en principe également dans ce cas.</t>
  </si>
  <si>
    <t>Passer à l'évaluation</t>
  </si>
  <si>
    <t>Étape 2: Évaluation de la couverture d'assurance – Assurance indemnités journalières en cas d'incapacité de travail</t>
  </si>
  <si>
    <t>En raison de mon état de santé, j'ai reçu une réserve pour ma demande d'assurance indemnités journalières au cours des 5 dernières années.</t>
  </si>
  <si>
    <t>Aufgrund meines Gesundheitszustandes habe ich eine Ablehnung für meine beantragte Taggeldversicherung erhalten.</t>
  </si>
  <si>
    <t>En raison de mon état de santé, ma demande d'assurance indemnités journalières a été refusée.</t>
  </si>
  <si>
    <t>Assurances collectives d'indemnités journalières (AIJM collective) pour les revenus professionnels hors exploitation agricole</t>
  </si>
  <si>
    <t>Toutes les informations relatives aux assurances indemnités journalières ont-elles été saisies?</t>
  </si>
  <si>
    <t>La preuve d'une couverture d'assurance indemnités journalières minimale du partenaire est requise et les données ci-dessous doivent être saisies dans leur intégralité!</t>
  </si>
  <si>
    <t>Il n'est pas nécessaire de fournir la preuve d'une couverture d'assurance minimale pour les indemnités journalières du partenaire! Passez à l'étape 3.</t>
  </si>
  <si>
    <t xml:space="preserve">Eine Kollektivkrankentaggeldversicherung einer Anstellung ausserhalb des Landwirtschaftsbetriebes ist hier zu erfassen. Diese Versicherung deckt den Lohnausfall (in der Regel 80% des Lohnes, nach einer Wartefrist von 30 Tagen) bei krankheitsbedingter Arbeitsunfähigkeit. Sie ist in vielen Branchen  verbreiteter Standard, ist hingegen keine obligatorische Sozialversicherung und somit nicht bei jeder Anstellung vorhanden.
Dies im Gegensatz zur obligatorischen Unfallversicherung, die bei einer unfallbedingten Arbeitsunfähigkeit Taggeldleistungen nach einer Wartefrist von 2 Tagen erbringt. Eine obligatorische Unfallversicherung muss hier nicht erfasst werden, da der Taggeldschutz im Unfallfall gegenüber dem  Krankheitsfall besser ist.  </t>
  </si>
  <si>
    <t>Schritt 3: Beurteilung Versicherungsschutz – Risikovorsorge bei Invalidität und Tod</t>
  </si>
  <si>
    <t>Étape 3: Évaluation de la couverture d'assurance – Prévention des risques en cas d'invalidité et de décès</t>
  </si>
  <si>
    <t>Fase 3: Valutazione della copertura assicurativa – Prevenzione dei rischi in caso di invalidità e decesso</t>
  </si>
  <si>
    <t>Aufgrund meines Gesundheitszustandes habe ich eine Ablehnung für meine beantragte Risikovorsorge erhalten.</t>
  </si>
  <si>
    <t>Caisse de pension: Prestations de risque provenant de revenus professionnels hors de l'exploitation agricole</t>
  </si>
  <si>
    <t>Il est nécessaire de fournir la preuve d'une prévention des risques minimale pour le partenaire et de saisir l'intégralité des données ci-dessous!</t>
  </si>
  <si>
    <t>La preuve d'une prévention des risques minimale du partenaire n'est pas nécessaire! Passer à l'évaluation.</t>
  </si>
  <si>
    <t>Sono state registrate tutte le informazioni relative alle assicurazioni contro i rischi?</t>
  </si>
  <si>
    <t>La preuve d'une couverture d'assurance minimale pour les indemnités journalières est-elle requise?</t>
  </si>
  <si>
    <t>È necessaria la prova di una copertura assicurativa minima per le indennità giornaliere?</t>
  </si>
  <si>
    <t>La preuve d'une couverture d'assurance minimale contre les risques est-elle nécessaire?</t>
  </si>
  <si>
    <t>È necessaria la prova di una copertura assicurativa minima contro i rischi?</t>
  </si>
  <si>
    <t xml:space="preserve">Wir bestätigen mit unseren Unterschriften die Korrektheit der gemachten Angaben. Wir sind uns bewusst, dass es sich um eine auf das aufgeführte Datum bezogene Momentaufnahme handelt. Massgebend sind ausschliesslich die Bestimmungen der Direktzahlungsverordnung sowie die Verhältnisse am 1.1. des Beitragsjahres. </t>
  </si>
  <si>
    <t xml:space="preserve">Par nos signatures, nous confirmons l'exactitude des informations fournies et sommes conscients qu'il s'agit d'un instantané à la date indiquée. Seules les dispositions de l'ODP et la situation au 1er janvier de l'année de contribution font foi. </t>
  </si>
  <si>
    <t>Disclaimer: Das vorliegende Formular ist eine toolunterstützte Selbstdeklaration. Die Agrisano, als Toolentwicklerin, sowie der Ersteller (falls abweichend vom Bewirtschafter/Partner) übernehmen keinerlei Garantie für Vollständigkeit sowie Korrektheit der gemachten Angaben respektive für das auf dem Nachweisformular dargestellte Resultat. Es wird empfohlen, die Beurteilung jährlich vorzunehmen und das Nachweisformular zu aktualisieren.</t>
  </si>
  <si>
    <t>Avertissement: Le présent formulaire est une auto-déclaration assistée par un outil. Agrisano, en tant que développeur de l'outil, ainsi que l'auteur (s'il diffère de l'exploitant ou du partenaire) ne garantissent en aucun cas l'exhaustivité ni l'exactitude des informations fournies, ni le résultat présenté sur le formulaire de justification. Il est recommandé de procéder à cette évaluation chaque année et de mettre à jour le formulaire de justification.</t>
  </si>
  <si>
    <t>Gemäss Abklärung ist der Nachweis eines Versicherungsschutz für den Partner erforderlich.</t>
  </si>
  <si>
    <t>D'après les informations recueillies, il est nécessaire de fournir la preuve d'une couverture d'assurance pour le partenaire.</t>
  </si>
  <si>
    <t xml:space="preserve">Gemäss Abklärung werden alle relevanten Punkte für den Nachweis eines Taggeldversicherungsschutzes des Partners erfüllt. </t>
  </si>
  <si>
    <t>D'après les informations recueillies, toutes les conditions requises pour justifier de la couverture d'assurance indemnités journalières du partenaire sont remplies.</t>
  </si>
  <si>
    <t xml:space="preserve">Gemäss Abklärung werden alle relevanten Punkte für den Nachweis einer Risikovorsorge des Partners erfüllt. </t>
  </si>
  <si>
    <t>D'après les informations recueillies, toutes les conditions requises pour justifier la prévention des risques du partenaire sont remplies.</t>
  </si>
  <si>
    <t xml:space="preserve">Ablehnung liegt vor </t>
  </si>
  <si>
    <t>Resultat Abklärung Risikovorsorge bei Invalidität und Tod</t>
  </si>
  <si>
    <t>Resultat Abklärung Erfordernis Versicherungsschutz</t>
  </si>
  <si>
    <t>Massgebend ist das Geltendmachen des Zweitverdienerabzuges in der Steuererklärung</t>
  </si>
  <si>
    <t>Es ist zwischen «reinen juristischen Personen» (Art. 3 Abs. 3 DZV) sowie «Familien-AGs und -GmbHs» (Art. 3 Abs. 2 DZV) zu unterscheiden. Es sind nur die reinen juristischen Personen von der Pflicht ausgeschlossen. Bei den Familien-AGs und -GmbHs sind natürliche Personen vorhanden, die bspw. auch die Altersgrenze oder die Ausbildungsanforderung erfüllen müssen und somit gilt hier  grundsätzlich auch die Versicherungspflicht.</t>
  </si>
  <si>
    <t>Motif:</t>
  </si>
  <si>
    <t>Motivo:</t>
  </si>
  <si>
    <t>OUI</t>
  </si>
  <si>
    <t>SÌ</t>
  </si>
  <si>
    <t>NON</t>
  </si>
  <si>
    <t>NO</t>
  </si>
  <si>
    <t xml:space="preserve">Les prestations de la caisse de pension sont courantes pour les emplois hors de l'exploitation agricole dont le salaire annuel est inférieur à CHF 22 680 (Seuil d‘entrée légal LPP). Ces prestations de risque surobligatoires figurent sur le certificat de la caisse de pension que celle-ci envoie chaque année et doivent être saisies ci-dessous. Remarque : les prestations de retraite sont indiquées sur le certificat de caisse de pension sous forme de rentes annuelles. </t>
  </si>
  <si>
    <t>Les rentes AI pour enfants ou les rentes d'orphelin indiquées sur le relevé de la caisse de pension s'appliquent par enfant. Lors de la saisie de ces prestations de rente, il est donc impératif d'indiquer le «nombre d'enfants ayant droit à une rente» afin que ces rentes puissent être prises en compte correctement dans les calculs.</t>
  </si>
  <si>
    <t>txt_nachweis_3_1</t>
  </si>
  <si>
    <t>txt_nachweis_3_2</t>
  </si>
  <si>
    <t>Erforderlicher Taggeldschutz erfüllt?</t>
  </si>
  <si>
    <t>(NEIN bedeutet Taggeldleistung zu tief oder Wartefrist zu hoch)</t>
  </si>
  <si>
    <t>(NON signifie que la prestation d'indemnités journalières est trop faible ou que le délai d‘attente est trop long)</t>
  </si>
  <si>
    <t>txt_nachweis_5_1</t>
  </si>
  <si>
    <t>txt_nachweis_5_2</t>
  </si>
  <si>
    <t>txt_nachweis_6_1</t>
  </si>
  <si>
    <t>txt_nachweis_6_2</t>
  </si>
  <si>
    <t>Erforderlicher Risikoschutz "Invalidität" gesamthaft erfüllt?</t>
  </si>
  <si>
    <t>(NEIN bedeutet Invaliditätsleistung zu tief)</t>
  </si>
  <si>
    <t>(NON signifie que la prestation en cas d'invalidité est trop faible)</t>
  </si>
  <si>
    <t>Erforderlicher Risikoschutz "Tod" gesamthaft erfüllt?</t>
  </si>
  <si>
    <t>(NEIN bedeutet Todesfallleistung zu tief)</t>
  </si>
  <si>
    <t>(NON signifie que la prestation en cas de décès est trop faible)</t>
  </si>
  <si>
    <t>(NO significa che la prestazione in caso di decesso è troppo bassa)</t>
  </si>
  <si>
    <t>Ablehnung vorhanden</t>
  </si>
  <si>
    <t>txt_risiko_bem_1</t>
  </si>
  <si>
    <t>txt_risiko_bem_2</t>
  </si>
  <si>
    <t>Pensionskassenleistungen sind bei Anstellungen ausserhalb des Landwirtschaftsbetriebes mit Jahreslohnsummen von unter CHF 22'680 (gesetzliche Eintrittsschwelle BVG) verbreiteter Standard. Diese überobligatorischen Risikoleistungen sind auf dem Pensionskassenausweis, den die Pensionskasse jährlich zustellt, ersichtlich und hier zu erfassen. Hinweis: Rentenleistungen sind auf dem Pensionskassenausweis als Jahresrenten angegeben.</t>
  </si>
  <si>
    <t>Die auf dem Pensionskassenausweis dargestellte Kinder-IV-Rente resp. Waisen-Rente gelten pro Kind. Bei Eingabe dieser Rentenleistungen ist somit die Angabe "Anzahl rentenberechtigter Kinder" zwingend, damit diese Renten korrekt in den Berechnungen mitberücksichtigt werden können.</t>
  </si>
  <si>
    <t>Réserve formulée</t>
  </si>
  <si>
    <t>Déclaration d'impôt: Aucune collaboration</t>
  </si>
  <si>
    <t>Résultat de l'évaluation des exigences en matière de couverture d'assurance</t>
  </si>
  <si>
    <t>Décès: Couverture pour</t>
  </si>
  <si>
    <t>AI: Couverture pour</t>
  </si>
  <si>
    <t>Remarque: Les prestations de rente doivent être indiquées sous forme de rentes annuelles.</t>
  </si>
  <si>
    <t>Autres prestations d'assurances privées</t>
  </si>
  <si>
    <t>Le partenaire était-il marié ou vivait-il en partenariat enregistré avec l'exploitant au 1er janvier de l'année de contribution?</t>
  </si>
  <si>
    <t>Le partenaire est-il né en 1972 ou avant?</t>
  </si>
  <si>
    <t>Notre revenu imposable au titre de l'impôt fédéral direct était-il supérieur à CHF 12 000 en moyenne au cours des deux dernières années?</t>
  </si>
  <si>
    <t>L'exploitation est-elle une exploitation d'estivage ou une exploitation de pâturage communautaire?</t>
  </si>
  <si>
    <t>Par exemple Lawis, Agricola, Gelan, Acorda etc.</t>
  </si>
  <si>
    <t>Les questions s'adressent au partenaire de l'exploitant. Si la réponse à l'une des deux questions est «oui», le partenaire n'est pas tenu de fournir la preuve d'une couverture d'assurance indemnités journalières.</t>
  </si>
  <si>
    <t xml:space="preserve">Il convient ici de saisir l'assurance collective d'indemnités journalières en cas de maladie liée à un emploi en dehors de l'exploitation agricole. Cette assurance couvre la perte de salaire (en règle générale 80% du salaire, après un délai d'attente de 30 jours) en cas d'incapacité de travail pour cause de maladie. Elle est couramment pratiquée dans de nombreux secteurs, mais ne constitue pas une assurance sociale obligatoire et n'est donc pas systématiquement prévue pour chaque emploi. Cela contraste avec l'assurance accidents obligatoire, qui verse des indemnités journalières en cas d'incapacité de travail due à un accident après un délai d'attente de 2 jours. Il n'est pas nécessaire d'indiquer ici une assurance accident obligatoire, car la couverture des indemnités journalières en cas d'accident est plus avantageuse qu'en cas de maladie. </t>
  </si>
  <si>
    <t>Les questions s'adressent au partenaire de l'exploitant. Si la réponse à l'une des deux questions est «oui», le partenaire n'est pas tenu de fournir la preuve d'une couverture de prévoyance de risque.</t>
  </si>
  <si>
    <t>En raison de mon état de santé, j'ai reçu une réserve pour ma demande de prévoyance de risque au cours des 5 dernières années.</t>
  </si>
  <si>
    <t>En raison de mon état de santé, ma demande de prévoyance de risque a été refusée.</t>
  </si>
  <si>
    <t>Toutes les informations relatives aux assurances de risque ont-elles été saisies?</t>
  </si>
  <si>
    <t xml:space="preserve">Le partenaire est-il concerné par la preuve d'une couverture d'assurance obligatoire? </t>
  </si>
  <si>
    <t>La couverture d'indemnités journalières requise est-elle remplie?</t>
  </si>
  <si>
    <t>La couverture du risque «Invalidité» requise est-elle globalement remplie?</t>
  </si>
  <si>
    <t>La couverture du risque «Décès» requise est-elle globalement remplie?</t>
  </si>
  <si>
    <t>È presente un rifiuto</t>
  </si>
  <si>
    <t>È presente una riserva</t>
  </si>
  <si>
    <t>L’azienda è una persona giuridica</t>
  </si>
  <si>
    <t>Reddito imponibile inferiore a CHF 12’000</t>
  </si>
  <si>
    <t>Dichiarazione d’imposta: Nessuna collaborazione</t>
  </si>
  <si>
    <t>Nato/a nel 1972 o prima</t>
  </si>
  <si>
    <t>Non sposato/a o nessuna unione domestica registrata</t>
  </si>
  <si>
    <t>Azienda di estivazione o di pascolo comunitario</t>
  </si>
  <si>
    <t>Data / Firma del/della partner</t>
  </si>
  <si>
    <t>Data / Firma del/della gestore/trice</t>
  </si>
  <si>
    <t>Copertura d’invalidità necessaria (combinazione possibile)</t>
  </si>
  <si>
    <t>Copertura d’invalidità esistente</t>
  </si>
  <si>
    <t>Copertura assicurazione d’indennità giornaliera necessaria</t>
  </si>
  <si>
    <t>Copertura assicurazione d’indennità giornaliera esistente</t>
  </si>
  <si>
    <t>Risultato della verifica dell’assicurazione d’indennità giornaliera</t>
  </si>
  <si>
    <t>Risultato della valutazione delle esigenze nell’ambito della copertura assicurativa</t>
  </si>
  <si>
    <t>per la copertura assicurativa dei partner ai sensi dell’ordinanza sui pagamenti diretti</t>
  </si>
  <si>
    <t>Formulario di verifica</t>
  </si>
  <si>
    <t>Rendita per figli AI</t>
  </si>
  <si>
    <t>Cassa pensione</t>
  </si>
  <si>
    <t>Numero di figli aventi diritto a una rendita:</t>
  </si>
  <si>
    <t>Nota: Le prestazioni della rendita devono essere indicate sotto forma di rendite annuali.</t>
  </si>
  <si>
    <t>Massa salariale annua lorda</t>
  </si>
  <si>
    <t>Passare alla fase 3</t>
  </si>
  <si>
    <t>Altre prestazioni di assicurazione privata</t>
  </si>
  <si>
    <t>Importo in % del salario</t>
  </si>
  <si>
    <t>Analisi delle esigenze di copertura assicurativa del/della partner ai sensi dell’ordinanza sui pagamenti diretti</t>
  </si>
  <si>
    <t>Per motivi di migliore leggibilità, nel seguito si utilizzerà esclusivamente il termine «partner» per indicare il/la coniuge e il/la partner registrato/a.</t>
  </si>
  <si>
    <t>Per compilare il formulario, vi preghiamo di tenere a portata di mano le dichiarazioni d’imposta degli ultimi due anni, le polizze assicurative attuali e i documenti relativi ai contratti di lavoro esistenti.</t>
  </si>
  <si>
    <t>Il 1° gennaio dell’anno contributivo il partner era sposato con il gestore o viveva in un’unione domestica registrata?</t>
  </si>
  <si>
    <t>Abbiamo indicato nella dichiarazione d’imposta che il partner collabora regolarmente e in misura considerevole nell’azienda agricola?</t>
  </si>
  <si>
    <t>Il partner che collabora nell’azienda ha realizzato un reddito proprio superiore a CHF 22’680 nell’anno precedente all’anno contributivo?</t>
  </si>
  <si>
    <t>Il nostro reddito imponibile per l’imposta federale diretta è stato in media superiore a CHF 12’000 negli ultimi due anni?</t>
  </si>
  <si>
    <t>L’azienda è gestita sotto forma di persona giuridica ai sensi dell’art. 3, cpv. 3 OPD (p. es. SA, Sagl, cooperativa)?</t>
  </si>
  <si>
    <t>Si tratta di un’azienda di estivazione o di un pascolo comunitario?</t>
  </si>
  <si>
    <t>Si prega di rispondere a tutte le domande.</t>
  </si>
  <si>
    <t>È necessario fornire la prova di una copertura assicurativa minima del partner! Si prega di proseguire con l’analisi!</t>
  </si>
  <si>
    <t>Ad esempio Lawis, Agricola, Gelan, Acorda, ecc.</t>
  </si>
  <si>
    <t>È determinante la richiesta della deduzione per doppio reddito nella dichiarazione d’imposta.</t>
  </si>
  <si>
    <t>È determinante il reddito annuo soggetto all’AVS, indipendentemente dal fatto che provenga dall’azienda o da un’attività esterna. In caso di più attività, i redditi vengono sommati. Oppure: È determinante il salario soggetto all’AVS, indipendentemente dal fatto che provenga dall’azienda o da un impiego esterno. In caso di più impieghi, i salari vengono sommati.</t>
  </si>
  <si>
    <t>Occorre distinguere tra «persone giuridiche pure» (art. 3, cpv. 3 OPD) e «SA e Sagl familiari» (art. 3, cpv. 2 OPD). Solo le persone giuridiche pure sono esentate dall’obbligo. Nelle SA e nelle Sagl familiari sono presenti persone fisiche che, ad esempio, devono soddisfare anche il limite di età o i requisiti di formazione e pertanto in questo caso si applica in linea di principio anche l’obbligo assicurativo.</t>
  </si>
  <si>
    <t>Passare alla valutazione</t>
  </si>
  <si>
    <t>Le domande sono rivolte al partner del gestore. Se la risposta a una delle due domande è «Sì», il partner non è tenuto a fornire la prova di una copertura assicurativa d’indennità giornaliera.</t>
  </si>
  <si>
    <t>Fase 2: Valutazione della copertura assicurativa – assicurazione d’indennità giornaliera in caso di incapacità lavorativa</t>
  </si>
  <si>
    <t>A causa del mio stato di salute, negli ultimi 5 anni ho ricevuto una riserva per la mia richiesta di assicurazione d’indennità giornaliera.</t>
  </si>
  <si>
    <t>A causa del mio stato di salute, la mia richiesta di assicurazione d’indennità giornaliera è stata respinta.</t>
  </si>
  <si>
    <t>Assicurazioni collettive d’indennità giornaliera (AIGM collettiva) per redditi da attività lucrativa al di fuori dell’azienda agricola</t>
  </si>
  <si>
    <t>Sono stati inseriti tutti i dati relativi alle assicurazioni d’indennità giornaliera?</t>
  </si>
  <si>
    <t>È necessario fornire la prova di una copertura assicurativa minima d’indennità giornaliera per il partner e tutti i dati seguenti devono essere inseriti per intero!</t>
  </si>
  <si>
    <t>Non è necessario fornire la prova di una copertura assicurativa minima d’indennità giornaliera per il partner! Passare alla fase 3.</t>
  </si>
  <si>
    <t>Qui va indicata un’assicurazione d’indennità giornaliera collettiva in caso di malattia relativa a un impiego al di fuori dell’azienda agricola. Questa assicurazione copre la perdita di salario (di norma l’80% del salario, dopo un periodo di attesa di 30 giorni) in caso di incapacità lavorativa dovuta a malattia. Si tratta di una pratica standard diffusa in molti settori, ma non è un’assicurazione sociale obbligatoria e quindi non è sistematicamente prevista per ogni rapporto di lavoro. Ciò a differenza dell’assicurazione contro gli infortuni obbligatoria, che in caso di incapacità lavorativa dovuta a infortunio eroga delle indennità giornaliere dopo un periodo di attesa di 2 giorni. Non è necessario inserire qui un’assicurazione contro gli infortuni obbligatoria, poiché la copertura delle indennità giornaliere in caso di infortunio è più vantaggiosa rispetto a quella in caso di malattia.</t>
  </si>
  <si>
    <t>Le domande sono rivolte al partner del gestore. Se la risposta a una delle due domande è "Sì", il partner non è tenuto a fornire la prova di una copertura previdenziale contro i rischi.</t>
  </si>
  <si>
    <t>A causa del mio stato di salute, negli ultimi 5 anni ho ricevuto una riserva per la mia richiesta di previdenza contro i rischi.</t>
  </si>
  <si>
    <t>A causa del mio stato di salute, la mia richiesta di previdenza contro i rischi è stata respinta.</t>
  </si>
  <si>
    <t>Cassa pensione: Prestazioni contro i rischi derivanti da redditi da attività lucrativa al di fuori dell’azienda agricola</t>
  </si>
  <si>
    <t>È necessario fornire la prova di una copertura assicurativa minima contro i rischi per il partner e tutti i dati seguenti devono essere inseriti per intero!</t>
  </si>
  <si>
    <t>Non è necessario fornire la prova di una copertura assicurativa minima contro i rischi per il partner! Passare alla valutazione.</t>
  </si>
  <si>
    <t xml:space="preserve">Il partner è toccato dalla prova di una copertura assicurativa obbligatoria? </t>
  </si>
  <si>
    <t>La copertura d’indennità giornaliera richiesta è soddisfatta?</t>
  </si>
  <si>
    <t>(NO significa che la prestazione d’indennità giornaliera è troppo bassa o il periodo di attesa è troppo lungo)</t>
  </si>
  <si>
    <t>La copertura del rischio «invalidità» richiesta è complessivamente soddisfatta?</t>
  </si>
  <si>
    <t>(NO significa che la prestazione in caso di invalidità è troppo bassa)</t>
  </si>
  <si>
    <t>La copertura del rischio «decesso» richiesta è complessivamente soddisfatta?</t>
  </si>
  <si>
    <t xml:space="preserve">Con le nostre firme confermiamo la correttezza delle informazioni fornite e siamo consapevoli che si tratta di un’istantanea relativa alla data indicata. Sono determinanti esclusivamente le disposizioni dell’Ordinanza sui pagamenti diretti (OPD) e le condizioni al 1° gennaio dell’anno contributivo. </t>
  </si>
  <si>
    <t xml:space="preserve">Disclaimer: Il presente formulario è un’autodichiarazione supportata da uno strumento. Agrisano, in qualità di sviluppatore dello strumento, e l’autore (se diverso dal gestore o dal partner) non assumono alcuna garanzia per la completezza e la correttezza delle informazioni fornite o per il risultato riportato nel formulario di verifica. Si raccomanda di effettuare la valutazione ogni anno e di aggiornare di conseguenza il formulario di verifica.  </t>
  </si>
  <si>
    <t>In base alle informazioni raccolte, è necessario fornire la prova che il partner abbia una copertura assicurativa.</t>
  </si>
  <si>
    <t>In base alle informazioni raccolte, tutte le condizioni necessarie per dimostrare una copertura assicurativa d’indennità giornaliera per il partner sono soddisfatte.</t>
  </si>
  <si>
    <t>In base alle informazioni raccolte, tutte le condizioni necessarie per dimostrare una previdenza contro i rischi per il partner sono soddisfatte.</t>
  </si>
  <si>
    <t xml:space="preserve">Le prestazioni della cassa pensione sono uno standard diffuso per gli impieghi al di fuori dell’azienda agricola con salari annuali inferiori a CHF 22’680 (soglia d’accesso legale LPP). Queste prestazioni di rischio sovra-obbligatorie sono riportate sul certificato della cassa pensione, che invia ogni anno, e devono essere inserite di seguito. Nota: le prestazioni della rendita sono indicate sul certificato della cassa pensione sotto forma di rendite annuali. </t>
  </si>
  <si>
    <t>La rendita AI per figli o la rendita per orfani riportate sul certificato della cassa pensione si applicano per ogni figlio. Al momento dell’inserimento di tali prestazioni di rendita, è quindi imperativo indicare il «numero di figli aventi diritto a una rendita», affinché queste rendite possano essere correttamente prese in considerazione nei calcoli.</t>
  </si>
  <si>
    <t>Bspw. Lawis, Agricola, Gelan, Acorda etc.</t>
  </si>
  <si>
    <t>Sprache/Langue/Lingua</t>
  </si>
  <si>
    <t>Selezioni innanzitutto la lingua desiderata. Una volta effettuata questa impostazione, non sarà più possibile modificarla. Clicca quindi su START.</t>
  </si>
  <si>
    <t>Veuillez d'abord sélectionner la langue de votre choix. Ce paramètre ne pourra plus être modifié par la suite. Cliquez ensuite sur START.</t>
  </si>
  <si>
    <t>Bitte wählen Sie zuerst Ihre gewünschte Sprache aus. Diese Einstellung darf anschliessend nicht mehr geändert werden. Klicken Sie anschliessend auf START.</t>
  </si>
  <si>
    <t>Version 1.22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</si>
</sst>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CHF&quot;\ #,##0"/>
  </numFmts>
  <fonts count="23" x14ac:knownFonts="1">
    <font>
      <sz val="11"/>
      <color theme="1"/>
      <name val="Aptos Narrow"/>
      <family val="2"/>
      <scheme val="minor"/>
    </font>
    <font>
      <b/>
      <sz val="12"/>
      <color theme="1"/>
      <name val="Aptos Narrow"/>
      <family val="2"/>
      <scheme val="minor"/>
    </font>
    <font>
      <b/>
      <sz val="16"/>
      <color theme="1"/>
      <name val="Aptos Narrow"/>
      <family val="2"/>
      <scheme val="minor"/>
    </font>
    <font>
      <b/>
      <sz val="10"/>
      <color theme="1"/>
      <name val="Aptos Narrow"/>
      <family val="2"/>
      <scheme val="minor"/>
    </font>
    <font>
      <sz val="10"/>
      <color theme="1"/>
      <name val="Aptos Narrow"/>
      <family val="2"/>
      <scheme val="minor"/>
    </font>
    <font>
      <sz val="16"/>
      <color theme="1"/>
      <name val="Aptos Narrow"/>
      <family val="2"/>
      <scheme val="minor"/>
    </font>
    <font>
      <sz val="8"/>
      <color theme="1"/>
      <name val="Aptos Narrow"/>
      <family val="2"/>
      <scheme val="minor"/>
    </font>
    <font>
      <u/>
      <sz val="10"/>
      <color theme="1"/>
      <name val="Aptos Narrow"/>
      <family val="2"/>
      <scheme val="minor"/>
    </font>
    <font>
      <sz val="11"/>
      <color theme="0"/>
      <name val="Aptos Narrow"/>
      <family val="2"/>
      <scheme val="minor"/>
    </font>
    <font>
      <u/>
      <sz val="11"/>
      <color theme="10"/>
      <name val="Aptos Narrow"/>
      <family val="2"/>
      <scheme val="minor"/>
    </font>
    <font>
      <b/>
      <sz val="10"/>
      <color rgb="FFC00000"/>
      <name val="Aptos Narrow"/>
      <family val="2"/>
      <scheme val="minor"/>
    </font>
    <font>
      <sz val="11"/>
      <color theme="1"/>
      <name val="Aptos Narrow"/>
      <family val="2"/>
      <scheme val="minor"/>
    </font>
    <font>
      <sz val="8"/>
      <name val="Aptos Narrow"/>
      <family val="2"/>
      <scheme val="minor"/>
    </font>
    <font>
      <b/>
      <sz val="12"/>
      <color rgb="FFC00000"/>
      <name val="Aptos Narrow"/>
      <family val="2"/>
      <scheme val="minor"/>
    </font>
    <font>
      <b/>
      <sz val="18"/>
      <color theme="1"/>
      <name val="Aptos Narrow"/>
      <family val="2"/>
      <scheme val="minor"/>
    </font>
    <font>
      <i/>
      <sz val="8"/>
      <color theme="1"/>
      <name val="Aptos Narrow"/>
      <family val="2"/>
      <scheme val="minor"/>
    </font>
    <font>
      <sz val="10"/>
      <color theme="0" tint="-0.499984740745262"/>
      <name val="Aptos Narrow"/>
      <family val="2"/>
      <scheme val="minor"/>
    </font>
    <font>
      <sz val="8"/>
      <color theme="0" tint="-0.499984740745262"/>
      <name val="Aptos Narrow"/>
      <family val="2"/>
      <scheme val="minor"/>
    </font>
    <font>
      <sz val="10"/>
      <color theme="0"/>
      <name val="Aptos Narrow"/>
      <family val="2"/>
      <scheme val="minor"/>
    </font>
    <font>
      <b/>
      <sz val="9"/>
      <color theme="1"/>
      <name val="Aptos Narrow"/>
      <family val="2"/>
      <scheme val="minor"/>
    </font>
    <font>
      <u/>
      <sz val="8"/>
      <color theme="1"/>
      <name val="Aptos Narrow"/>
      <family val="2"/>
      <scheme val="minor"/>
    </font>
    <font>
      <b/>
      <sz val="11"/>
      <color theme="1"/>
      <name val="Aptos Narrow"/>
      <family val="2"/>
      <scheme val="minor"/>
    </font>
    <font>
      <b/>
      <sz val="11"/>
      <color rgb="FFC00000"/>
      <name val="Aptos Narrow"/>
      <family val="2"/>
      <scheme val="minor"/>
    </font>
  </fonts>
  <fills count="10">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3" tint="0.89999084444715716"/>
        <bgColor indexed="64"/>
      </patternFill>
    </fill>
    <fill>
      <patternFill patternType="solid">
        <fgColor theme="3" tint="0.749992370372631"/>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C000"/>
        <bgColor indexed="64"/>
      </patternFill>
    </fill>
  </fills>
  <borders count="24">
    <border>
      <left/>
      <right/>
      <top/>
      <bottom/>
      <diagonal/>
    </border>
    <border>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theme="0" tint="-4.9989318521683403E-2"/>
      </top>
      <bottom style="thin">
        <color theme="0" tint="-4.9989318521683403E-2"/>
      </bottom>
      <diagonal/>
    </border>
    <border>
      <left/>
      <right/>
      <top/>
      <bottom style="thin">
        <color theme="0" tint="-4.9989318521683403E-2"/>
      </bottom>
      <diagonal/>
    </border>
    <border>
      <left/>
      <right/>
      <top/>
      <bottom style="hair">
        <color auto="1"/>
      </bottom>
      <diagonal/>
    </border>
    <border>
      <left/>
      <right/>
      <top style="thin">
        <color theme="0"/>
      </top>
      <bottom/>
      <diagonal/>
    </border>
  </borders>
  <cellStyleXfs count="3">
    <xf numFmtId="0" fontId="0" fillId="0" borderId="0"/>
    <xf numFmtId="0" fontId="9" fillId="0" borderId="0" applyNumberFormat="0" applyFill="0" applyBorder="0" applyAlignment="0" applyProtection="0"/>
    <xf numFmtId="9" fontId="11" fillId="0" borderId="0" applyFont="0" applyFill="0" applyBorder="0" applyAlignment="0" applyProtection="0"/>
  </cellStyleXfs>
  <cellXfs count="143">
    <xf numFmtId="0" fontId="0" fillId="0" borderId="0" xfId="0"/>
    <xf numFmtId="0" fontId="4" fillId="0" borderId="0" xfId="0" applyFont="1" applyAlignment="1">
      <alignment vertical="top"/>
    </xf>
    <xf numFmtId="0" fontId="4" fillId="0" borderId="0" xfId="0" applyFont="1" applyAlignment="1">
      <alignment vertical="center"/>
    </xf>
    <xf numFmtId="0" fontId="4" fillId="0" borderId="1" xfId="0" applyFont="1" applyBorder="1" applyAlignment="1">
      <alignment vertical="center"/>
    </xf>
    <xf numFmtId="0" fontId="3" fillId="0" borderId="1" xfId="0" applyFont="1" applyBorder="1" applyAlignment="1">
      <alignment vertical="center"/>
    </xf>
    <xf numFmtId="0" fontId="7" fillId="0" borderId="1" xfId="0" applyFont="1" applyBorder="1" applyAlignment="1">
      <alignment vertical="center"/>
    </xf>
    <xf numFmtId="0" fontId="4" fillId="4" borderId="0" xfId="0" applyFont="1" applyFill="1" applyAlignment="1">
      <alignment vertical="center"/>
    </xf>
    <xf numFmtId="0" fontId="4" fillId="0" borderId="0" xfId="0" applyFont="1" applyAlignment="1">
      <alignment horizontal="left" vertical="center"/>
    </xf>
    <xf numFmtId="0" fontId="5" fillId="0" borderId="0" xfId="0" applyFont="1" applyAlignment="1">
      <alignment vertical="center"/>
    </xf>
    <xf numFmtId="0" fontId="1" fillId="0" borderId="0" xfId="0" applyFont="1" applyAlignment="1">
      <alignment horizontal="left" vertical="center"/>
    </xf>
    <xf numFmtId="0" fontId="4" fillId="2" borderId="0" xfId="0" applyFont="1" applyFill="1" applyAlignment="1">
      <alignment vertical="center"/>
    </xf>
    <xf numFmtId="0" fontId="4" fillId="0" borderId="0" xfId="0" applyFont="1" applyAlignment="1">
      <alignment horizontal="left" vertical="center" wrapText="1"/>
    </xf>
    <xf numFmtId="0" fontId="0" fillId="0" borderId="0" xfId="0" applyAlignment="1">
      <alignment vertical="center"/>
    </xf>
    <xf numFmtId="0" fontId="3" fillId="0" borderId="0" xfId="0" applyFont="1" applyAlignment="1">
      <alignment vertical="center"/>
    </xf>
    <xf numFmtId="0" fontId="4" fillId="0" borderId="0" xfId="0" applyFont="1" applyAlignment="1">
      <alignment horizontal="right" vertical="center"/>
    </xf>
    <xf numFmtId="0" fontId="1" fillId="0" borderId="0" xfId="0" applyFont="1" applyAlignment="1">
      <alignment vertical="center"/>
    </xf>
    <xf numFmtId="0" fontId="3" fillId="2" borderId="0" xfId="0" applyFont="1" applyFill="1" applyAlignment="1">
      <alignment vertical="center"/>
    </xf>
    <xf numFmtId="0" fontId="10" fillId="0" borderId="0" xfId="0" applyFont="1" applyAlignment="1">
      <alignment horizontal="left" vertical="center" wrapText="1"/>
    </xf>
    <xf numFmtId="0" fontId="3" fillId="2" borderId="4" xfId="0" applyFont="1" applyFill="1" applyBorder="1" applyAlignment="1" applyProtection="1">
      <alignment horizontal="center" vertical="center"/>
      <protection locked="0"/>
    </xf>
    <xf numFmtId="0" fontId="8" fillId="0" borderId="0" xfId="1" applyFont="1" applyBorder="1" applyAlignment="1">
      <alignment vertical="center"/>
    </xf>
    <xf numFmtId="0" fontId="3" fillId="0" borderId="0" xfId="0" applyFont="1" applyAlignment="1">
      <alignment vertical="top"/>
    </xf>
    <xf numFmtId="0" fontId="4" fillId="0" borderId="0" xfId="0" applyFont="1"/>
    <xf numFmtId="0" fontId="3" fillId="0" borderId="0" xfId="0" applyFont="1"/>
    <xf numFmtId="0" fontId="2" fillId="6" borderId="0" xfId="0" applyFont="1" applyFill="1" applyAlignment="1">
      <alignment horizontal="left" vertical="center"/>
    </xf>
    <xf numFmtId="0" fontId="5" fillId="6" borderId="0" xfId="0" applyFont="1" applyFill="1" applyAlignment="1">
      <alignment vertical="center"/>
    </xf>
    <xf numFmtId="0" fontId="6" fillId="6" borderId="0" xfId="0" applyFont="1" applyFill="1" applyAlignment="1">
      <alignment horizontal="right" vertical="center"/>
    </xf>
    <xf numFmtId="0" fontId="13" fillId="0" borderId="0" xfId="0" applyFont="1" applyAlignment="1">
      <alignment horizontal="right" vertical="center"/>
    </xf>
    <xf numFmtId="0" fontId="3" fillId="2" borderId="14" xfId="0" applyFont="1" applyFill="1" applyBorder="1" applyAlignment="1">
      <alignment horizontal="left" vertical="center"/>
    </xf>
    <xf numFmtId="0" fontId="4" fillId="2" borderId="16" xfId="0" applyFont="1" applyFill="1" applyBorder="1" applyAlignment="1">
      <alignment horizontal="left" vertical="center" wrapText="1"/>
    </xf>
    <xf numFmtId="0" fontId="4" fillId="2" borderId="18" xfId="0" applyFont="1" applyFill="1" applyBorder="1" applyAlignment="1">
      <alignment horizontal="left" vertical="center"/>
    </xf>
    <xf numFmtId="0" fontId="4" fillId="2" borderId="19" xfId="0" applyFont="1" applyFill="1" applyBorder="1" applyAlignment="1">
      <alignment horizontal="left" vertical="center" wrapText="1"/>
    </xf>
    <xf numFmtId="0" fontId="3" fillId="2" borderId="2" xfId="0" applyFont="1" applyFill="1" applyBorder="1" applyAlignment="1">
      <alignment horizontal="left" vertical="center"/>
    </xf>
    <xf numFmtId="0" fontId="4" fillId="2" borderId="17" xfId="0" applyFont="1" applyFill="1" applyBorder="1" applyAlignment="1">
      <alignment horizontal="left" vertical="center" wrapText="1"/>
    </xf>
    <xf numFmtId="0" fontId="4" fillId="2" borderId="15" xfId="0" applyFont="1" applyFill="1" applyBorder="1" applyAlignment="1">
      <alignment horizontal="left" vertical="center" wrapText="1"/>
    </xf>
    <xf numFmtId="0" fontId="4" fillId="2" borderId="1" xfId="0" applyFont="1" applyFill="1" applyBorder="1" applyAlignment="1">
      <alignment horizontal="left" vertical="center" wrapText="1"/>
    </xf>
    <xf numFmtId="0" fontId="3" fillId="2" borderId="3" xfId="0" applyFont="1" applyFill="1" applyBorder="1" applyAlignment="1">
      <alignment horizontal="left" vertical="center"/>
    </xf>
    <xf numFmtId="0" fontId="6" fillId="0" borderId="0" xfId="0" applyFont="1" applyAlignment="1">
      <alignment vertical="center"/>
    </xf>
    <xf numFmtId="0" fontId="4" fillId="5" borderId="8" xfId="0" applyFont="1" applyFill="1" applyBorder="1" applyAlignment="1" applyProtection="1">
      <alignment horizontal="center" vertical="center"/>
      <protection locked="0"/>
    </xf>
    <xf numFmtId="9" fontId="4" fillId="0" borderId="0" xfId="2" applyFont="1"/>
    <xf numFmtId="0" fontId="4" fillId="8" borderId="0" xfId="0" applyFont="1" applyFill="1"/>
    <xf numFmtId="0" fontId="4" fillId="0" borderId="0" xfId="0" applyFont="1" applyAlignment="1">
      <alignment horizontal="right"/>
    </xf>
    <xf numFmtId="0" fontId="4" fillId="2" borderId="1" xfId="0" applyFont="1" applyFill="1" applyBorder="1" applyAlignment="1">
      <alignment vertical="center"/>
    </xf>
    <xf numFmtId="0" fontId="3" fillId="2" borderId="1" xfId="0" applyFont="1" applyFill="1" applyBorder="1" applyAlignment="1">
      <alignment vertical="center"/>
    </xf>
    <xf numFmtId="0" fontId="7" fillId="2" borderId="1" xfId="0" applyFont="1" applyFill="1" applyBorder="1" applyAlignment="1">
      <alignment vertical="center"/>
    </xf>
    <xf numFmtId="0" fontId="14" fillId="0" borderId="0" xfId="0" applyFont="1" applyAlignment="1">
      <alignment vertical="center"/>
    </xf>
    <xf numFmtId="0" fontId="4" fillId="0" borderId="20" xfId="0" applyFont="1" applyBorder="1" applyAlignment="1" applyProtection="1">
      <alignment vertical="center"/>
      <protection hidden="1"/>
    </xf>
    <xf numFmtId="0" fontId="4" fillId="0" borderId="21" xfId="0" applyFont="1" applyBorder="1" applyAlignment="1" applyProtection="1">
      <alignment vertical="center"/>
      <protection hidden="1"/>
    </xf>
    <xf numFmtId="0" fontId="4" fillId="0" borderId="0" xfId="0" applyFont="1" applyAlignment="1" applyProtection="1">
      <alignment vertical="center"/>
      <protection hidden="1"/>
    </xf>
    <xf numFmtId="0" fontId="4" fillId="7" borderId="0" xfId="0" applyFont="1" applyFill="1" applyAlignment="1">
      <alignment vertical="center"/>
    </xf>
    <xf numFmtId="0" fontId="4" fillId="0" borderId="22" xfId="0" applyFont="1" applyBorder="1" applyAlignment="1">
      <alignment vertical="center"/>
    </xf>
    <xf numFmtId="0" fontId="3" fillId="6" borderId="7" xfId="0" applyFont="1" applyFill="1" applyBorder="1" applyAlignment="1">
      <alignment vertical="center"/>
    </xf>
    <xf numFmtId="0" fontId="3" fillId="6" borderId="6" xfId="0" applyFont="1" applyFill="1" applyBorder="1" applyAlignment="1">
      <alignment vertical="center"/>
    </xf>
    <xf numFmtId="0" fontId="3" fillId="6" borderId="9" xfId="0" applyFont="1" applyFill="1" applyBorder="1" applyAlignment="1">
      <alignment vertical="center"/>
    </xf>
    <xf numFmtId="0" fontId="17" fillId="0" borderId="0" xfId="0" applyFont="1" applyAlignment="1">
      <alignment horizontal="right" vertical="top"/>
    </xf>
    <xf numFmtId="0" fontId="18" fillId="0" borderId="0" xfId="1" applyFont="1" applyAlignment="1">
      <alignment horizontal="center" vertical="center"/>
    </xf>
    <xf numFmtId="0" fontId="15" fillId="0" borderId="0" xfId="0" applyFont="1" applyAlignment="1">
      <alignment horizontal="left" vertical="top" wrapText="1"/>
    </xf>
    <xf numFmtId="0" fontId="3" fillId="0" borderId="1" xfId="0" applyFont="1" applyBorder="1" applyAlignment="1">
      <alignment horizontal="right" vertical="center"/>
    </xf>
    <xf numFmtId="0" fontId="6" fillId="0" borderId="1" xfId="0" applyFont="1" applyBorder="1" applyAlignment="1">
      <alignment vertical="center"/>
    </xf>
    <xf numFmtId="0" fontId="20" fillId="0" borderId="1" xfId="0" applyFont="1" applyBorder="1" applyAlignment="1">
      <alignment vertical="center"/>
    </xf>
    <xf numFmtId="0" fontId="6" fillId="0" borderId="0" xfId="0" applyFont="1"/>
    <xf numFmtId="0" fontId="6" fillId="0" borderId="0" xfId="0" applyFont="1" applyAlignment="1">
      <alignment horizontal="left" vertical="top"/>
    </xf>
    <xf numFmtId="0" fontId="6" fillId="5" borderId="0" xfId="0" applyFont="1" applyFill="1" applyAlignment="1">
      <alignment vertical="top" wrapText="1"/>
    </xf>
    <xf numFmtId="0" fontId="10"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vertical="top"/>
    </xf>
    <xf numFmtId="0" fontId="21" fillId="7" borderId="0" xfId="0" applyFont="1" applyFill="1" applyAlignment="1">
      <alignment vertical="center"/>
    </xf>
    <xf numFmtId="0" fontId="15" fillId="0" borderId="0" xfId="0" applyFont="1" applyAlignment="1">
      <alignment vertical="top" wrapText="1"/>
    </xf>
    <xf numFmtId="0" fontId="6" fillId="0" borderId="0" xfId="0" applyFont="1" applyAlignment="1">
      <alignment horizontal="right" vertical="center" indent="1"/>
    </xf>
    <xf numFmtId="0" fontId="0" fillId="0" borderId="0" xfId="0" applyAlignment="1">
      <alignment horizontal="left" vertical="center"/>
    </xf>
    <xf numFmtId="0" fontId="22" fillId="0" borderId="0" xfId="0" applyFont="1" applyAlignment="1">
      <alignment horizontal="left" vertical="center" wrapText="1"/>
    </xf>
    <xf numFmtId="0" fontId="4" fillId="0" borderId="0" xfId="0" applyFont="1" applyAlignment="1">
      <alignment horizontal="left" vertical="top" wrapText="1"/>
    </xf>
    <xf numFmtId="0" fontId="4" fillId="2" borderId="15" xfId="0" applyFont="1" applyFill="1" applyBorder="1" applyAlignment="1">
      <alignment horizontal="left" vertical="top" wrapText="1"/>
    </xf>
    <xf numFmtId="0" fontId="4" fillId="2" borderId="1" xfId="0" applyFont="1" applyFill="1" applyBorder="1" applyAlignment="1">
      <alignment horizontal="left" vertical="top" wrapText="1"/>
    </xf>
    <xf numFmtId="0" fontId="8" fillId="0" borderId="0" xfId="1" applyFont="1" applyFill="1" applyAlignment="1">
      <alignment horizontal="center" vertical="center" wrapText="1"/>
    </xf>
    <xf numFmtId="0" fontId="10" fillId="0" borderId="0" xfId="0" applyFont="1" applyAlignment="1">
      <alignment horizontal="left" vertical="center" wrapText="1"/>
    </xf>
    <xf numFmtId="0" fontId="4" fillId="2" borderId="0" xfId="0" applyFont="1" applyFill="1" applyAlignment="1">
      <alignment horizontal="left" vertical="top" wrapText="1"/>
    </xf>
    <xf numFmtId="0" fontId="3" fillId="3" borderId="0" xfId="0" applyFont="1" applyFill="1" applyAlignment="1">
      <alignment horizontal="left" vertical="center" wrapText="1" indent="1"/>
    </xf>
    <xf numFmtId="0" fontId="8" fillId="0" borderId="0" xfId="1" applyFont="1" applyBorder="1" applyAlignment="1">
      <alignment horizontal="center" vertical="center" wrapText="1"/>
    </xf>
    <xf numFmtId="0" fontId="4" fillId="5" borderId="12" xfId="0" applyFont="1" applyFill="1" applyBorder="1" applyAlignment="1" applyProtection="1">
      <alignment horizontal="left" vertical="center"/>
      <protection locked="0"/>
    </xf>
    <xf numFmtId="0" fontId="4" fillId="5" borderId="13" xfId="0" applyFont="1" applyFill="1" applyBorder="1" applyAlignment="1" applyProtection="1">
      <alignment horizontal="left" vertical="center"/>
      <protection locked="0"/>
    </xf>
    <xf numFmtId="0" fontId="4" fillId="5" borderId="10" xfId="0" applyFont="1" applyFill="1" applyBorder="1" applyAlignment="1" applyProtection="1">
      <alignment horizontal="left" vertical="center"/>
      <protection locked="0"/>
    </xf>
    <xf numFmtId="0" fontId="3" fillId="6" borderId="9" xfId="0" applyFont="1" applyFill="1" applyBorder="1" applyAlignment="1">
      <alignment horizontal="left" vertical="center"/>
    </xf>
    <xf numFmtId="0" fontId="3" fillId="6" borderId="6" xfId="0" applyFont="1" applyFill="1" applyBorder="1" applyAlignment="1">
      <alignment horizontal="left" vertical="center"/>
    </xf>
    <xf numFmtId="9" fontId="4" fillId="5" borderId="12" xfId="2" applyFont="1" applyFill="1" applyBorder="1" applyAlignment="1" applyProtection="1">
      <alignment horizontal="left" vertical="center"/>
      <protection locked="0"/>
    </xf>
    <xf numFmtId="9" fontId="4" fillId="5" borderId="13" xfId="2" applyFont="1" applyFill="1" applyBorder="1" applyAlignment="1" applyProtection="1">
      <alignment horizontal="left" vertical="center"/>
      <protection locked="0"/>
    </xf>
    <xf numFmtId="0" fontId="3" fillId="6" borderId="7" xfId="0" applyFont="1" applyFill="1" applyBorder="1" applyAlignment="1">
      <alignment horizontal="left" vertical="center"/>
    </xf>
    <xf numFmtId="0" fontId="4" fillId="5" borderId="9" xfId="0" applyFont="1" applyFill="1" applyBorder="1" applyAlignment="1" applyProtection="1">
      <alignment horizontal="left" vertical="center"/>
      <protection locked="0"/>
    </xf>
    <xf numFmtId="0" fontId="4" fillId="5" borderId="6" xfId="0" applyFont="1" applyFill="1" applyBorder="1" applyAlignment="1" applyProtection="1">
      <alignment horizontal="left" vertical="center"/>
      <protection locked="0"/>
    </xf>
    <xf numFmtId="0" fontId="4" fillId="5" borderId="7"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19" fillId="6" borderId="9" xfId="0" applyFont="1" applyFill="1" applyBorder="1" applyAlignment="1">
      <alignment horizontal="left" vertical="center"/>
    </xf>
    <xf numFmtId="0" fontId="19" fillId="6" borderId="6" xfId="0" applyFont="1" applyFill="1" applyBorder="1" applyAlignment="1">
      <alignment horizontal="left" vertical="center"/>
    </xf>
    <xf numFmtId="0" fontId="19" fillId="6" borderId="7" xfId="0" applyFont="1" applyFill="1" applyBorder="1" applyAlignment="1">
      <alignment horizontal="left" vertical="center"/>
    </xf>
    <xf numFmtId="164" fontId="4" fillId="5" borderId="12" xfId="0" applyNumberFormat="1" applyFont="1" applyFill="1" applyBorder="1" applyAlignment="1" applyProtection="1">
      <alignment horizontal="left" vertical="center"/>
      <protection locked="0"/>
    </xf>
    <xf numFmtId="164" fontId="4" fillId="5" borderId="13" xfId="0" applyNumberFormat="1" applyFont="1" applyFill="1" applyBorder="1" applyAlignment="1" applyProtection="1">
      <alignment horizontal="left" vertical="center"/>
      <protection locked="0"/>
    </xf>
    <xf numFmtId="164" fontId="4" fillId="5" borderId="10" xfId="0" applyNumberFormat="1" applyFont="1" applyFill="1" applyBorder="1" applyAlignment="1" applyProtection="1">
      <alignment horizontal="left" vertical="center"/>
      <protection locked="0"/>
    </xf>
    <xf numFmtId="0" fontId="4" fillId="2" borderId="15" xfId="0" applyFont="1" applyFill="1" applyBorder="1" applyAlignment="1">
      <alignment horizontal="left" vertical="center" wrapText="1"/>
    </xf>
    <xf numFmtId="0" fontId="4" fillId="2" borderId="1" xfId="0" applyFont="1" applyFill="1" applyBorder="1" applyAlignment="1">
      <alignment horizontal="left" vertical="center" wrapText="1"/>
    </xf>
    <xf numFmtId="0" fontId="3" fillId="3" borderId="14" xfId="0" applyFont="1" applyFill="1" applyBorder="1" applyAlignment="1">
      <alignment horizontal="left" vertical="center" wrapText="1" indent="1"/>
    </xf>
    <xf numFmtId="0" fontId="3" fillId="3" borderId="15" xfId="0" applyFont="1" applyFill="1" applyBorder="1" applyAlignment="1">
      <alignment horizontal="left" vertical="center" wrapText="1" indent="1"/>
    </xf>
    <xf numFmtId="0" fontId="3" fillId="3" borderId="16" xfId="0" applyFont="1" applyFill="1" applyBorder="1" applyAlignment="1">
      <alignment horizontal="left" vertical="center" wrapText="1" indent="1"/>
    </xf>
    <xf numFmtId="0" fontId="3" fillId="3" borderId="2" xfId="0" applyFont="1" applyFill="1" applyBorder="1" applyAlignment="1">
      <alignment horizontal="left" vertical="center" wrapText="1" indent="1"/>
    </xf>
    <xf numFmtId="0" fontId="3" fillId="3" borderId="17" xfId="0" applyFont="1" applyFill="1" applyBorder="1" applyAlignment="1">
      <alignment horizontal="left" vertical="center" wrapText="1" indent="1"/>
    </xf>
    <xf numFmtId="0" fontId="3" fillId="3" borderId="18" xfId="0" applyFont="1" applyFill="1" applyBorder="1" applyAlignment="1">
      <alignment horizontal="left" vertical="center" wrapText="1" indent="1"/>
    </xf>
    <xf numFmtId="0" fontId="3" fillId="3" borderId="1" xfId="0" applyFont="1" applyFill="1" applyBorder="1" applyAlignment="1">
      <alignment horizontal="left" vertical="center" wrapText="1" indent="1"/>
    </xf>
    <xf numFmtId="0" fontId="3" fillId="3" borderId="19" xfId="0" applyFont="1" applyFill="1" applyBorder="1" applyAlignment="1">
      <alignment horizontal="left" vertical="center" wrapText="1" indent="1"/>
    </xf>
    <xf numFmtId="0" fontId="3" fillId="2" borderId="5" xfId="0"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protection locked="0"/>
    </xf>
    <xf numFmtId="0" fontId="11" fillId="9" borderId="0" xfId="1" applyFont="1" applyFill="1" applyAlignment="1">
      <alignment horizontal="center" vertical="center"/>
    </xf>
    <xf numFmtId="0" fontId="3" fillId="2" borderId="14" xfId="0" applyFont="1" applyFill="1" applyBorder="1" applyAlignment="1">
      <alignment horizontal="left" vertical="center" indent="1"/>
    </xf>
    <xf numFmtId="0" fontId="3" fillId="2" borderId="18" xfId="0" applyFont="1" applyFill="1" applyBorder="1" applyAlignment="1">
      <alignment horizontal="left" vertical="center" indent="1"/>
    </xf>
    <xf numFmtId="0" fontId="3" fillId="6" borderId="8" xfId="0" applyFont="1" applyFill="1" applyBorder="1" applyAlignment="1">
      <alignment horizontal="left" vertical="center"/>
    </xf>
    <xf numFmtId="0" fontId="8" fillId="0" borderId="0" xfId="1" applyFont="1" applyBorder="1" applyAlignment="1">
      <alignment horizontal="center" vertical="center"/>
    </xf>
    <xf numFmtId="164" fontId="4" fillId="5" borderId="11" xfId="0" applyNumberFormat="1" applyFont="1" applyFill="1" applyBorder="1" applyAlignment="1" applyProtection="1">
      <alignment horizontal="left" vertical="center"/>
      <protection locked="0"/>
    </xf>
    <xf numFmtId="0" fontId="16" fillId="5" borderId="9" xfId="0" applyFont="1" applyFill="1" applyBorder="1" applyAlignment="1">
      <alignment horizontal="left" vertical="center"/>
    </xf>
    <xf numFmtId="0" fontId="16" fillId="5" borderId="6" xfId="0" applyFont="1" applyFill="1" applyBorder="1" applyAlignment="1">
      <alignment horizontal="left" vertical="center"/>
    </xf>
    <xf numFmtId="0" fontId="16" fillId="5" borderId="7" xfId="0" applyFont="1" applyFill="1" applyBorder="1" applyAlignment="1">
      <alignment horizontal="left" vertical="center"/>
    </xf>
    <xf numFmtId="164" fontId="16" fillId="5" borderId="8" xfId="0" applyNumberFormat="1" applyFont="1" applyFill="1" applyBorder="1" applyAlignment="1">
      <alignment horizontal="left" vertical="center"/>
    </xf>
    <xf numFmtId="164" fontId="16" fillId="5" borderId="9" xfId="0" applyNumberFormat="1" applyFont="1" applyFill="1" applyBorder="1" applyAlignment="1">
      <alignment horizontal="left" vertical="center"/>
    </xf>
    <xf numFmtId="0" fontId="4" fillId="5" borderId="8" xfId="0" applyFont="1" applyFill="1" applyBorder="1" applyAlignment="1" applyProtection="1">
      <alignment horizontal="left" vertical="center"/>
      <protection locked="0"/>
    </xf>
    <xf numFmtId="0" fontId="4" fillId="2" borderId="5" xfId="0" applyFont="1" applyFill="1" applyBorder="1" applyAlignment="1">
      <alignment horizontal="left" vertical="center" wrapText="1"/>
    </xf>
    <xf numFmtId="0" fontId="4" fillId="2" borderId="4" xfId="0" applyFont="1" applyFill="1" applyBorder="1" applyAlignment="1">
      <alignment horizontal="left" vertical="center" wrapText="1"/>
    </xf>
    <xf numFmtId="164" fontId="4" fillId="5" borderId="8" xfId="0" applyNumberFormat="1" applyFont="1" applyFill="1" applyBorder="1" applyAlignment="1" applyProtection="1">
      <alignment horizontal="left" vertical="center"/>
      <protection locked="0"/>
    </xf>
    <xf numFmtId="164" fontId="4" fillId="5" borderId="9" xfId="0" applyNumberFormat="1" applyFont="1" applyFill="1" applyBorder="1" applyAlignment="1" applyProtection="1">
      <alignment horizontal="left" vertical="center"/>
      <protection locked="0"/>
    </xf>
    <xf numFmtId="0" fontId="3" fillId="6" borderId="12" xfId="0" applyFont="1" applyFill="1" applyBorder="1" applyAlignment="1">
      <alignment vertical="center"/>
    </xf>
    <xf numFmtId="0" fontId="3" fillId="6" borderId="13" xfId="0" applyFont="1" applyFill="1" applyBorder="1" applyAlignment="1">
      <alignment vertical="center"/>
    </xf>
    <xf numFmtId="0" fontId="16" fillId="5" borderId="12" xfId="0" applyFont="1" applyFill="1" applyBorder="1" applyAlignment="1">
      <alignment horizontal="left" vertical="center"/>
    </xf>
    <xf numFmtId="0" fontId="16" fillId="5" borderId="13" xfId="0" applyFont="1" applyFill="1" applyBorder="1" applyAlignment="1">
      <alignment horizontal="left" vertical="center"/>
    </xf>
    <xf numFmtId="0" fontId="3" fillId="2" borderId="3" xfId="0" applyFont="1" applyFill="1" applyBorder="1" applyAlignment="1" applyProtection="1">
      <alignment horizontal="center" vertical="center"/>
      <protection locked="0"/>
    </xf>
    <xf numFmtId="0" fontId="6" fillId="0" borderId="0" xfId="0" applyFont="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14" fontId="4" fillId="5" borderId="23" xfId="0" applyNumberFormat="1" applyFont="1" applyFill="1" applyBorder="1" applyAlignment="1" applyProtection="1">
      <alignment horizontal="left" vertical="center"/>
      <protection locked="0"/>
    </xf>
    <xf numFmtId="164" fontId="3" fillId="0" borderId="3" xfId="0" applyNumberFormat="1" applyFont="1" applyBorder="1" applyAlignment="1">
      <alignment horizontal="right" vertical="center"/>
    </xf>
    <xf numFmtId="164" fontId="3" fillId="0" borderId="5" xfId="0" applyNumberFormat="1" applyFont="1" applyBorder="1" applyAlignment="1">
      <alignment horizontal="right" vertical="center"/>
    </xf>
    <xf numFmtId="164" fontId="3" fillId="0" borderId="4" xfId="0" applyNumberFormat="1" applyFont="1" applyBorder="1" applyAlignment="1">
      <alignment horizontal="right" vertical="center"/>
    </xf>
    <xf numFmtId="9" fontId="4" fillId="0" borderId="0" xfId="2" applyFont="1" applyAlignment="1">
      <alignment horizontal="right" vertical="center"/>
    </xf>
    <xf numFmtId="0" fontId="3" fillId="2" borderId="0" xfId="0" applyFont="1" applyFill="1" applyAlignment="1">
      <alignment horizontal="right" vertical="center"/>
    </xf>
    <xf numFmtId="0" fontId="15" fillId="0" borderId="0" xfId="0" applyFont="1" applyAlignment="1">
      <alignment horizontal="left" vertical="top" wrapText="1"/>
    </xf>
    <xf numFmtId="164" fontId="4" fillId="0" borderId="0" xfId="0" applyNumberFormat="1" applyFont="1" applyAlignment="1">
      <alignment horizontal="right" vertical="center"/>
    </xf>
    <xf numFmtId="0" fontId="4" fillId="2" borderId="6" xfId="0" applyFont="1" applyFill="1" applyBorder="1" applyAlignment="1" applyProtection="1">
      <alignment horizontal="left" vertical="center"/>
      <protection locked="0"/>
    </xf>
    <xf numFmtId="49" fontId="4" fillId="2" borderId="6" xfId="0" applyNumberFormat="1" applyFont="1" applyFill="1" applyBorder="1" applyAlignment="1" applyProtection="1">
      <alignment horizontal="left" vertical="center"/>
      <protection locked="0"/>
    </xf>
    <xf numFmtId="0" fontId="4" fillId="2" borderId="13" xfId="0" applyFont="1" applyFill="1" applyBorder="1" applyAlignment="1" applyProtection="1">
      <alignment horizontal="left" vertical="center"/>
      <protection locked="0"/>
    </xf>
  </cellXfs>
  <cellStyles count="3">
    <cellStyle name="Link" xfId="1" builtinId="8"/>
    <cellStyle name="Prozent" xfId="2" builtinId="5"/>
    <cellStyle name="Standard" xfId="0" builtinId="0"/>
  </cellStyles>
  <dxfs count="42">
    <dxf>
      <font>
        <color theme="1"/>
      </font>
      <fill>
        <patternFill>
          <bgColor rgb="FFFFC000"/>
        </patternFill>
      </fill>
    </dxf>
    <dxf>
      <font>
        <color theme="1"/>
      </font>
      <fill>
        <patternFill>
          <bgColor rgb="FFFFC000"/>
        </patternFill>
      </fill>
    </dxf>
    <dxf>
      <fill>
        <patternFill>
          <bgColor rgb="FFFFCCCC"/>
        </patternFill>
      </fill>
    </dxf>
    <dxf>
      <fill>
        <patternFill>
          <bgColor theme="9" tint="0.79998168889431442"/>
        </patternFill>
      </fill>
    </dxf>
    <dxf>
      <fill>
        <patternFill>
          <bgColor rgb="FFFFCCCC"/>
        </patternFill>
      </fill>
    </dxf>
    <dxf>
      <fill>
        <patternFill>
          <bgColor theme="9" tint="0.79998168889431442"/>
        </patternFill>
      </fill>
    </dxf>
    <dxf>
      <fill>
        <patternFill>
          <bgColor rgb="FFFFCCCC"/>
        </patternFill>
      </fill>
    </dxf>
    <dxf>
      <fill>
        <patternFill>
          <bgColor theme="9" tint="0.79998168889431442"/>
        </patternFill>
      </fill>
    </dxf>
    <dxf>
      <font>
        <color theme="1"/>
      </font>
      <fill>
        <patternFill>
          <bgColor rgb="FFFFC000"/>
        </patternFill>
      </fill>
    </dxf>
    <dxf>
      <font>
        <color theme="1"/>
      </font>
      <fill>
        <patternFill>
          <bgColor rgb="FFFFC000"/>
        </patternFill>
      </fill>
    </dxf>
    <dxf>
      <fill>
        <patternFill>
          <bgColor rgb="FFFFCCCC"/>
        </patternFill>
      </fill>
    </dxf>
    <dxf>
      <fill>
        <patternFill>
          <bgColor rgb="FFFFCCCC"/>
        </patternFill>
      </fill>
    </dxf>
    <dxf>
      <fill>
        <patternFill>
          <bgColor rgb="FFFFC000"/>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ont>
        <color theme="1"/>
      </font>
      <fill>
        <patternFill>
          <bgColor rgb="FFFFC000"/>
        </patternFill>
      </fill>
    </dxf>
    <dxf>
      <font>
        <color theme="1"/>
      </font>
      <fill>
        <patternFill>
          <bgColor rgb="FFFFC000"/>
        </patternFill>
      </fill>
    </dxf>
    <dxf>
      <fill>
        <patternFill>
          <bgColor rgb="FFFFCCCC"/>
        </patternFill>
      </fill>
    </dxf>
    <dxf>
      <fill>
        <patternFill>
          <bgColor rgb="FFFFCCCC"/>
        </patternFill>
      </fill>
    </dxf>
    <dxf>
      <fill>
        <patternFill>
          <bgColor rgb="FFFFC000"/>
        </patternFill>
      </fill>
    </dxf>
    <dxf>
      <fill>
        <patternFill>
          <bgColor rgb="FFFFCCCC"/>
        </patternFill>
      </fill>
    </dxf>
    <dxf>
      <fill>
        <patternFill>
          <bgColor rgb="FFFFCCCC"/>
        </patternFill>
      </fill>
    </dxf>
    <dxf>
      <fill>
        <patternFill>
          <bgColor rgb="FFFFCCCC"/>
        </patternFill>
      </fill>
    </dxf>
    <dxf>
      <fill>
        <patternFill>
          <bgColor rgb="FFFFCCCC"/>
        </patternFill>
      </fill>
    </dxf>
    <dxf>
      <font>
        <color theme="1"/>
      </font>
      <fill>
        <patternFill>
          <bgColor rgb="FFFFC000"/>
        </patternFill>
      </fill>
    </dxf>
    <dxf>
      <font>
        <color theme="1"/>
      </font>
      <fill>
        <patternFill>
          <bgColor rgb="FFFFC000"/>
        </patternFill>
      </fill>
    </dxf>
    <dxf>
      <fill>
        <patternFill>
          <bgColor rgb="FFFFCCCC"/>
        </patternFill>
      </fill>
    </dxf>
    <dxf>
      <fill>
        <patternFill>
          <bgColor rgb="FFFFC000"/>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000"/>
        </patternFill>
      </fill>
    </dxf>
    <dxf>
      <fill>
        <patternFill>
          <bgColor rgb="FFFFC000"/>
        </patternFill>
      </fill>
    </dxf>
  </dxfs>
  <tableStyles count="0" defaultTableStyle="TableStyleMedium2" defaultPivotStyle="PivotStyleLight16"/>
  <colors>
    <mruColors>
      <color rgb="FFFFCC66"/>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Drop" dropStyle="combo" dx="22" fmlaLink="f_sprache" fmlaRange="l_sprache" noThreeD="1" sel="1" val="0"/>
</file>

<file path=xl/drawings/_rels/drawing1.xml.rels><?xml version="1.0" encoding="UTF-8" standalone="yes"?>
<Relationships xmlns="http://schemas.openxmlformats.org/package/2006/relationships"><Relationship Id="rId1" Type="http://schemas.openxmlformats.org/officeDocument/2006/relationships/hyperlink" Target="#Analysebogen!A1"/></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0</xdr:colOff>
          <xdr:row>7</xdr:row>
          <xdr:rowOff>171450</xdr:rowOff>
        </xdr:from>
        <xdr:to>
          <xdr:col>20</xdr:col>
          <xdr:colOff>0</xdr:colOff>
          <xdr:row>9</xdr:row>
          <xdr:rowOff>0</xdr:rowOff>
        </xdr:to>
        <xdr:sp macro="" textlink="">
          <xdr:nvSpPr>
            <xdr:cNvPr id="4097" name="Drop Down 1" hidden="1">
              <a:extLst>
                <a:ext uri="{63B3BB69-23CF-44E3-9099-C40C66FF867C}">
                  <a14:compatExt spid="_x0000_s4097"/>
                </a:ext>
                <a:ext uri="{FF2B5EF4-FFF2-40B4-BE49-F238E27FC236}">
                  <a16:creationId xmlns:a16="http://schemas.microsoft.com/office/drawing/2014/main" id="{00000000-0008-0000-0400-000001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17</xdr:col>
      <xdr:colOff>552449</xdr:colOff>
      <xdr:row>12</xdr:row>
      <xdr:rowOff>0</xdr:rowOff>
    </xdr:from>
    <xdr:to>
      <xdr:col>20</xdr:col>
      <xdr:colOff>0</xdr:colOff>
      <xdr:row>14</xdr:row>
      <xdr:rowOff>0</xdr:rowOff>
    </xdr:to>
    <xdr:sp macro="" textlink="">
      <xdr:nvSpPr>
        <xdr:cNvPr id="2" name="Rechteck: abgerundete Ecken 1">
          <a:hlinkClick xmlns:r="http://schemas.openxmlformats.org/officeDocument/2006/relationships" r:id="rId1"/>
          <a:extLst>
            <a:ext uri="{FF2B5EF4-FFF2-40B4-BE49-F238E27FC236}">
              <a16:creationId xmlns:a16="http://schemas.microsoft.com/office/drawing/2014/main" id="{25E56475-660B-981A-637A-3F7B0D16EE22}"/>
            </a:ext>
          </a:extLst>
        </xdr:cNvPr>
        <xdr:cNvSpPr/>
      </xdr:nvSpPr>
      <xdr:spPr>
        <a:xfrm>
          <a:off x="9067799" y="2457450"/>
          <a:ext cx="1104901" cy="457200"/>
        </a:xfrm>
        <a:prstGeom prst="roundRect">
          <a:avLst/>
        </a:prstGeom>
        <a:ln w="6350">
          <a:solidFill>
            <a:schemeClr val="accent1">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CH" sz="1400" b="1"/>
            <a:t>START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2021</xdr:colOff>
      <xdr:row>17</xdr:row>
      <xdr:rowOff>1</xdr:rowOff>
    </xdr:from>
    <xdr:to>
      <xdr:col>19</xdr:col>
      <xdr:colOff>0</xdr:colOff>
      <xdr:row>18</xdr:row>
      <xdr:rowOff>0</xdr:rowOff>
    </xdr:to>
    <xdr:sp macro="" textlink="txt_analyse_bem_1">
      <xdr:nvSpPr>
        <xdr:cNvPr id="4" name="Legende: mit gebogener Linie 3">
          <a:extLst>
            <a:ext uri="{FF2B5EF4-FFF2-40B4-BE49-F238E27FC236}">
              <a16:creationId xmlns:a16="http://schemas.microsoft.com/office/drawing/2014/main" id="{E8BF9133-94EE-EE35-9B13-6362AB445E32}"/>
            </a:ext>
          </a:extLst>
        </xdr:cNvPr>
        <xdr:cNvSpPr/>
      </xdr:nvSpPr>
      <xdr:spPr>
        <a:xfrm>
          <a:off x="6336146" y="3067051"/>
          <a:ext cx="3569854" cy="190499"/>
        </a:xfrm>
        <a:prstGeom prst="borderCallout2">
          <a:avLst>
            <a:gd name="adj1" fmla="val 43750"/>
            <a:gd name="adj2" fmla="val -1951"/>
            <a:gd name="adj3" fmla="val 45647"/>
            <a:gd name="adj4" fmla="val -12623"/>
            <a:gd name="adj5" fmla="val -121511"/>
            <a:gd name="adj6" fmla="val -22887"/>
          </a:avLst>
        </a:prstGeom>
        <a:solidFill>
          <a:srgbClr val="FFCC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0" bIns="0" rtlCol="0" anchor="ctr" anchorCtr="0"/>
        <a:lstStyle/>
        <a:p>
          <a:pPr marL="0" indent="0" algn="l"/>
          <a:fld id="{8B8A9D94-7B02-45FE-9D54-458BDBB0DA5C}" type="TxLink">
            <a:rPr lang="en-US" sz="800" b="0" i="0" u="none" strike="noStrike">
              <a:solidFill>
                <a:srgbClr val="000000"/>
              </a:solidFill>
              <a:latin typeface="Aptos Narrow"/>
              <a:ea typeface="+mn-ea"/>
              <a:cs typeface="+mn-cs"/>
            </a:rPr>
            <a:pPr marL="0" indent="0" algn="l"/>
            <a:t>Bspw. Lawis, Agricola, Gelan, Acorda etc.</a:t>
          </a:fld>
          <a:endParaRPr lang="de-CH" sz="500" b="0" i="0" u="none" strike="noStrike">
            <a:solidFill>
              <a:srgbClr val="000000"/>
            </a:solidFill>
            <a:latin typeface="Aptos Narrow"/>
            <a:ea typeface="+mn-ea"/>
            <a:cs typeface="+mn-cs"/>
          </a:endParaRPr>
        </a:p>
      </xdr:txBody>
    </xdr:sp>
    <xdr:clientData/>
  </xdr:twoCellAnchor>
  <xdr:twoCellAnchor>
    <xdr:from>
      <xdr:col>14</xdr:col>
      <xdr:colOff>1</xdr:colOff>
      <xdr:row>19</xdr:row>
      <xdr:rowOff>1</xdr:rowOff>
    </xdr:from>
    <xdr:to>
      <xdr:col>19</xdr:col>
      <xdr:colOff>0</xdr:colOff>
      <xdr:row>21</xdr:row>
      <xdr:rowOff>0</xdr:rowOff>
    </xdr:to>
    <xdr:sp macro="" textlink="txt_analyse_bem_2">
      <xdr:nvSpPr>
        <xdr:cNvPr id="5" name="Legende: mit gebogener Linie 4">
          <a:extLst>
            <a:ext uri="{FF2B5EF4-FFF2-40B4-BE49-F238E27FC236}">
              <a16:creationId xmlns:a16="http://schemas.microsoft.com/office/drawing/2014/main" id="{1675EA5B-281F-4137-AF9B-90EEFF696A22}"/>
            </a:ext>
          </a:extLst>
        </xdr:cNvPr>
        <xdr:cNvSpPr/>
      </xdr:nvSpPr>
      <xdr:spPr>
        <a:xfrm>
          <a:off x="6334126" y="3448051"/>
          <a:ext cx="3571874" cy="380999"/>
        </a:xfrm>
        <a:prstGeom prst="borderCallout2">
          <a:avLst>
            <a:gd name="adj1" fmla="val 44969"/>
            <a:gd name="adj2" fmla="val -2027"/>
            <a:gd name="adj3" fmla="val 45352"/>
            <a:gd name="adj4" fmla="val -13145"/>
            <a:gd name="adj5" fmla="val -23510"/>
            <a:gd name="adj6" fmla="val -23062"/>
          </a:avLst>
        </a:prstGeom>
        <a:solidFill>
          <a:srgbClr val="FFCC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72000" bIns="0" rtlCol="0" anchor="ctr" anchorCtr="0"/>
        <a:lstStyle/>
        <a:p>
          <a:pPr marL="0" indent="0" algn="l"/>
          <a:fld id="{BDFCE023-6DB1-4E95-B000-BA6CB880F4D6}" type="TxLink">
            <a:rPr lang="en-US" sz="800" b="0" i="0" u="none" strike="noStrike">
              <a:solidFill>
                <a:srgbClr val="000000"/>
              </a:solidFill>
              <a:latin typeface="Aptos Narrow"/>
              <a:ea typeface="+mn-ea"/>
              <a:cs typeface="+mn-cs"/>
            </a:rPr>
            <a:pPr marL="0" indent="0" algn="l"/>
            <a:t>Massgebend ist das Geltendmachen des Zweitverdienerabzuges in der Steuererklärung</a:t>
          </a:fld>
          <a:endParaRPr lang="de-CH" sz="500" b="0" i="0" u="none" strike="noStrike">
            <a:solidFill>
              <a:srgbClr val="000000"/>
            </a:solidFill>
            <a:latin typeface="Aptos Narrow"/>
            <a:ea typeface="+mn-ea"/>
            <a:cs typeface="+mn-cs"/>
          </a:endParaRPr>
        </a:p>
      </xdr:txBody>
    </xdr:sp>
    <xdr:clientData/>
  </xdr:twoCellAnchor>
  <xdr:twoCellAnchor>
    <xdr:from>
      <xdr:col>14</xdr:col>
      <xdr:colOff>1</xdr:colOff>
      <xdr:row>22</xdr:row>
      <xdr:rowOff>0</xdr:rowOff>
    </xdr:from>
    <xdr:to>
      <xdr:col>19</xdr:col>
      <xdr:colOff>0</xdr:colOff>
      <xdr:row>26</xdr:row>
      <xdr:rowOff>133350</xdr:rowOff>
    </xdr:to>
    <xdr:sp macro="" textlink="txt_analyse_bem_3">
      <xdr:nvSpPr>
        <xdr:cNvPr id="6" name="Legende: mit gebogener Linie 5">
          <a:extLst>
            <a:ext uri="{FF2B5EF4-FFF2-40B4-BE49-F238E27FC236}">
              <a16:creationId xmlns:a16="http://schemas.microsoft.com/office/drawing/2014/main" id="{F6452F2D-C879-456A-BA51-188ECC223932}"/>
            </a:ext>
          </a:extLst>
        </xdr:cNvPr>
        <xdr:cNvSpPr/>
      </xdr:nvSpPr>
      <xdr:spPr>
        <a:xfrm>
          <a:off x="6334126" y="4019550"/>
          <a:ext cx="3571874" cy="895350"/>
        </a:xfrm>
        <a:prstGeom prst="borderCallout2">
          <a:avLst>
            <a:gd name="adj1" fmla="val 45541"/>
            <a:gd name="adj2" fmla="val -2092"/>
            <a:gd name="adj3" fmla="val 45647"/>
            <a:gd name="adj4" fmla="val -12686"/>
            <a:gd name="adj5" fmla="val 13560"/>
            <a:gd name="adj6" fmla="val -23319"/>
          </a:avLst>
        </a:prstGeom>
        <a:solidFill>
          <a:srgbClr val="FFCC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72000" bIns="0" rtlCol="0" anchor="ctr" anchorCtr="0"/>
        <a:lstStyle/>
        <a:p>
          <a:pPr marL="0" indent="0" algn="l"/>
          <a:fld id="{347B0E4C-C8AF-4044-B6D0-68DBAC94BFFD}" type="TxLink">
            <a:rPr lang="en-US" sz="800" b="0" i="0" u="none" strike="noStrike">
              <a:solidFill>
                <a:srgbClr val="000000"/>
              </a:solidFill>
              <a:latin typeface="Aptos Narrow"/>
              <a:ea typeface="+mn-ea"/>
              <a:cs typeface="+mn-cs"/>
            </a:rPr>
            <a:pPr marL="0" indent="0" algn="l"/>
            <a:t>Massgebend ist das jährliche AHV-pflichtige Einkommen. Unabhängig, ob dieses vom Betrieb oder von einer externen Tätigkeit stammt. Bei mehreren Tätigkeiten werden die Einkommen zusammengezählt. Respektive:
Massgebend ist der AHV-pflichtige Lohn. Unabhängig, ob dieser vom Betrieb oder von einer externen Anstellung stammt. Bei mehreren Anstellungen werden die Löhne zusammengezählt. </a:t>
          </a:fld>
          <a:endParaRPr lang="de-CH" sz="500" b="0" i="0" u="none" strike="noStrike">
            <a:solidFill>
              <a:srgbClr val="000000"/>
            </a:solidFill>
            <a:latin typeface="Aptos Narrow"/>
            <a:ea typeface="+mn-ea"/>
            <a:cs typeface="+mn-cs"/>
          </a:endParaRPr>
        </a:p>
      </xdr:txBody>
    </xdr:sp>
    <xdr:clientData/>
  </xdr:twoCellAnchor>
  <xdr:oneCellAnchor>
    <xdr:from>
      <xdr:col>14</xdr:col>
      <xdr:colOff>0</xdr:colOff>
      <xdr:row>27</xdr:row>
      <xdr:rowOff>190499</xdr:rowOff>
    </xdr:from>
    <xdr:ext cx="3571875" cy="952501"/>
    <xdr:sp macro="" textlink="txt_analyse_bem_4">
      <xdr:nvSpPr>
        <xdr:cNvPr id="7" name="Legende: mit gebogener Linie 6">
          <a:extLst>
            <a:ext uri="{FF2B5EF4-FFF2-40B4-BE49-F238E27FC236}">
              <a16:creationId xmlns:a16="http://schemas.microsoft.com/office/drawing/2014/main" id="{E9B723DE-74D5-4158-81C4-738E9B9ED0C5}"/>
            </a:ext>
          </a:extLst>
        </xdr:cNvPr>
        <xdr:cNvSpPr/>
      </xdr:nvSpPr>
      <xdr:spPr>
        <a:xfrm>
          <a:off x="6334125" y="5162549"/>
          <a:ext cx="3571875" cy="952501"/>
        </a:xfrm>
        <a:prstGeom prst="borderCallout2">
          <a:avLst>
            <a:gd name="adj1" fmla="val 26072"/>
            <a:gd name="adj2" fmla="val -1558"/>
            <a:gd name="adj3" fmla="val 26023"/>
            <a:gd name="adj4" fmla="val -12720"/>
            <a:gd name="adj5" fmla="val 11988"/>
            <a:gd name="adj6" fmla="val -22896"/>
          </a:avLst>
        </a:prstGeom>
        <a:solidFill>
          <a:srgbClr val="FFCC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overflow" horzOverflow="overflow" wrap="square" lIns="72000" tIns="0" rIns="72000" bIns="0" rtlCol="0" anchor="ctr" anchorCtr="0">
          <a:noAutofit/>
        </a:bodyPr>
        <a:lstStyle/>
        <a:p>
          <a:pPr marL="0" indent="0" algn="l"/>
          <a:fld id="{5DD7A052-514C-4B53-BC90-CD07CB63CD30}" type="TxLink">
            <a:rPr lang="en-US" sz="800" b="0" i="0" u="none" strike="noStrike">
              <a:solidFill>
                <a:srgbClr val="000000"/>
              </a:solidFill>
              <a:latin typeface="Aptos Narrow"/>
              <a:ea typeface="+mn-ea"/>
              <a:cs typeface="+mn-cs"/>
            </a:rPr>
            <a:pPr marL="0" indent="0" algn="l"/>
            <a:t>Es ist zwischen «reinen juristischen Personen» (Art. 3 Abs. 3 DZV) sowie «Familien-AGs und -GmbHs» (Art. 3 Abs. 2 DZV) zu unterscheiden. Es sind nur die reinen juristischen Personen von der Pflicht ausgeschlossen. Bei den Familien-AGs und -GmbHs sind natürliche Personen vorhanden, die bspw. auch die Altersgrenze oder die Ausbildungsanforderung erfüllen müssen und somit gilt hier  grundsätzlich auch die Versicherungspflicht.</a:t>
          </a:fld>
          <a:endParaRPr lang="de-CH" sz="800" b="0" i="0" u="none" strike="noStrike">
            <a:solidFill>
              <a:srgbClr val="000000"/>
            </a:solidFill>
            <a:latin typeface="Aptos Narrow"/>
            <a:ea typeface="+mn-ea"/>
            <a:cs typeface="+mn-cs"/>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30</xdr:col>
      <xdr:colOff>985</xdr:colOff>
      <xdr:row>13</xdr:row>
      <xdr:rowOff>0</xdr:rowOff>
    </xdr:from>
    <xdr:to>
      <xdr:col>37</xdr:col>
      <xdr:colOff>0</xdr:colOff>
      <xdr:row>21</xdr:row>
      <xdr:rowOff>0</xdr:rowOff>
    </xdr:to>
    <xdr:sp macro="" textlink="txt_taggeld_bem_1">
      <xdr:nvSpPr>
        <xdr:cNvPr id="2" name="Legende: mit gebogener Linie 1">
          <a:extLst>
            <a:ext uri="{FF2B5EF4-FFF2-40B4-BE49-F238E27FC236}">
              <a16:creationId xmlns:a16="http://schemas.microsoft.com/office/drawing/2014/main" id="{C79BB293-59C0-4155-A824-4BD254A20C2A}"/>
            </a:ext>
          </a:extLst>
        </xdr:cNvPr>
        <xdr:cNvSpPr/>
      </xdr:nvSpPr>
      <xdr:spPr>
        <a:xfrm>
          <a:off x="9030685" y="2667000"/>
          <a:ext cx="3094640" cy="1676400"/>
        </a:xfrm>
        <a:prstGeom prst="borderCallout2">
          <a:avLst>
            <a:gd name="adj1" fmla="val 7079"/>
            <a:gd name="adj2" fmla="val -1436"/>
            <a:gd name="adj3" fmla="val 7185"/>
            <a:gd name="adj4" fmla="val -10224"/>
            <a:gd name="adj5" fmla="val 16524"/>
            <a:gd name="adj6" fmla="val -32688"/>
          </a:avLst>
        </a:prstGeom>
        <a:solidFill>
          <a:srgbClr val="FFCC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72000" bIns="0" rtlCol="0" anchor="ctr" anchorCtr="0"/>
        <a:lstStyle/>
        <a:p>
          <a:pPr marL="0" indent="0" algn="l"/>
          <a:fld id="{DCA48D0C-A868-4EC3-843B-BBD9C2835F21}" type="TxLink">
            <a:rPr lang="en-US" sz="800" b="0" i="0" u="none" strike="noStrike">
              <a:solidFill>
                <a:srgbClr val="000000"/>
              </a:solidFill>
              <a:latin typeface="Aptos Narrow"/>
              <a:ea typeface="+mn-ea"/>
              <a:cs typeface="+mn-cs"/>
            </a:rPr>
            <a:pPr marL="0" indent="0" algn="l"/>
            <a:t>Eine Kollektivkrankentaggeldversicherung einer Anstellung ausserhalb des Landwirtschaftsbetriebes ist hier zu erfassen. Diese Versicherung deckt den Lohnausfall (in der Regel 80% des Lohnes, nach einer Wartefrist von 30 Tagen) bei krankheitsbedingter Arbeitsunfähigkeit. Sie ist in vielen Branchen  verbreiteter Standard, ist hingegen keine obligatorische Sozialversicherung und somit nicht bei jeder Anstellung vorhanden.
Dies im Gegensatz zur obligatorischen Unfallversicherung, die bei einer unfallbedingten Arbeitsunfähigkeit Taggeldleistungen nach einer Wartefrist von 2 Tagen erbringt. Eine obligatorische Unfallversicherung muss hier nicht erfasst werden, da der Taggeldschutz im Unfallfall gegenüber dem  Krankheitsfall besser ist.  </a:t>
          </a:fld>
          <a:endParaRPr lang="de-CH" sz="500" b="0" i="0" u="none" strike="noStrike">
            <a:solidFill>
              <a:srgbClr val="000000"/>
            </a:solidFill>
            <a:latin typeface="Aptos Narrow"/>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32</xdr:col>
      <xdr:colOff>0</xdr:colOff>
      <xdr:row>12</xdr:row>
      <xdr:rowOff>0</xdr:rowOff>
    </xdr:from>
    <xdr:to>
      <xdr:col>38</xdr:col>
      <xdr:colOff>314325</xdr:colOff>
      <xdr:row>16</xdr:row>
      <xdr:rowOff>0</xdr:rowOff>
    </xdr:to>
    <xdr:sp macro="" textlink="txt_risiko_bem_1">
      <xdr:nvSpPr>
        <xdr:cNvPr id="2" name="Legende: mit gebogener Linie 1">
          <a:extLst>
            <a:ext uri="{FF2B5EF4-FFF2-40B4-BE49-F238E27FC236}">
              <a16:creationId xmlns:a16="http://schemas.microsoft.com/office/drawing/2014/main" id="{04BDA8FA-5481-4572-A928-9BB23EC8215B}"/>
            </a:ext>
          </a:extLst>
        </xdr:cNvPr>
        <xdr:cNvSpPr/>
      </xdr:nvSpPr>
      <xdr:spPr>
        <a:xfrm>
          <a:off x="10791825" y="2476500"/>
          <a:ext cx="3543300" cy="914400"/>
        </a:xfrm>
        <a:prstGeom prst="borderCallout2">
          <a:avLst>
            <a:gd name="adj1" fmla="val 7079"/>
            <a:gd name="adj2" fmla="val -1436"/>
            <a:gd name="adj3" fmla="val 54060"/>
            <a:gd name="adj4" fmla="val -9149"/>
            <a:gd name="adj5" fmla="val 54232"/>
            <a:gd name="adj6" fmla="val -78940"/>
          </a:avLst>
        </a:prstGeom>
        <a:solidFill>
          <a:srgbClr val="FFCC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72000" bIns="0" rtlCol="0" anchor="ctr" anchorCtr="0"/>
        <a:lstStyle/>
        <a:p>
          <a:pPr marL="0" indent="0" algn="l"/>
          <a:fld id="{22C25062-FAC9-47E6-A46E-F58D159BE021}" type="TxLink">
            <a:rPr lang="en-US" sz="800" b="0" i="0" u="none" strike="noStrike">
              <a:solidFill>
                <a:srgbClr val="000000"/>
              </a:solidFill>
              <a:latin typeface="Aptos Narrow"/>
              <a:ea typeface="+mn-ea"/>
              <a:cs typeface="+mn-cs"/>
            </a:rPr>
            <a:pPr marL="0" indent="0" algn="l"/>
            <a:t>Pensionskassenleistungen sind bei Anstellungen ausserhalb des Landwirtschaftsbetriebes mit Jahreslohnsummen von unter CHF 22'680 (gesetzliche Eintrittsschwelle BVG) verbreiteter Standard. Diese überobligatorischen Risikoleistungen sind auf dem Pensionskassenausweis, den die Pensionskasse jährlich zustellt, ersichtlich und hier zu erfassen. Hinweis: Rentenleistungen sind auf dem Pensionskassenausweis als Jahresrenten angegeben.</a:t>
          </a:fld>
          <a:endParaRPr lang="de-CH" sz="500" b="0" i="0" u="none" strike="noStrike">
            <a:solidFill>
              <a:srgbClr val="000000"/>
            </a:solidFill>
            <a:latin typeface="Aptos Narrow"/>
            <a:ea typeface="+mn-ea"/>
            <a:cs typeface="+mn-cs"/>
          </a:endParaRPr>
        </a:p>
      </xdr:txBody>
    </xdr:sp>
    <xdr:clientData/>
  </xdr:twoCellAnchor>
  <xdr:twoCellAnchor>
    <xdr:from>
      <xdr:col>32</xdr:col>
      <xdr:colOff>0</xdr:colOff>
      <xdr:row>17</xdr:row>
      <xdr:rowOff>0</xdr:rowOff>
    </xdr:from>
    <xdr:to>
      <xdr:col>38</xdr:col>
      <xdr:colOff>314325</xdr:colOff>
      <xdr:row>21</xdr:row>
      <xdr:rowOff>0</xdr:rowOff>
    </xdr:to>
    <xdr:sp macro="" textlink="txt_risiko_bem_2">
      <xdr:nvSpPr>
        <xdr:cNvPr id="3" name="Legende: mit gebogener Linie 2">
          <a:extLst>
            <a:ext uri="{FF2B5EF4-FFF2-40B4-BE49-F238E27FC236}">
              <a16:creationId xmlns:a16="http://schemas.microsoft.com/office/drawing/2014/main" id="{4B23F9B8-400F-4389-B9AD-990F6262ACE9}"/>
            </a:ext>
          </a:extLst>
        </xdr:cNvPr>
        <xdr:cNvSpPr/>
      </xdr:nvSpPr>
      <xdr:spPr>
        <a:xfrm>
          <a:off x="10791825" y="3581400"/>
          <a:ext cx="3543300" cy="762000"/>
        </a:xfrm>
        <a:prstGeom prst="borderCallout2">
          <a:avLst>
            <a:gd name="adj1" fmla="val 7079"/>
            <a:gd name="adj2" fmla="val -1436"/>
            <a:gd name="adj3" fmla="val 7185"/>
            <a:gd name="adj4" fmla="val -7536"/>
            <a:gd name="adj5" fmla="val -15060"/>
            <a:gd name="adj6" fmla="val -14559"/>
          </a:avLst>
        </a:prstGeom>
        <a:solidFill>
          <a:srgbClr val="FFCC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0" rIns="72000" bIns="0" rtlCol="0" anchor="ctr" anchorCtr="0"/>
        <a:lstStyle/>
        <a:p>
          <a:pPr marL="0" indent="0" algn="l"/>
          <a:fld id="{BFF8BEDB-67F2-45F0-B1D3-5228C9776472}" type="TxLink">
            <a:rPr lang="en-US" sz="800" b="0" i="0" u="none" strike="noStrike">
              <a:solidFill>
                <a:srgbClr val="000000"/>
              </a:solidFill>
              <a:latin typeface="Aptos Narrow"/>
              <a:ea typeface="+mn-ea"/>
              <a:cs typeface="+mn-cs"/>
            </a:rPr>
            <a:pPr marL="0" indent="0" algn="l"/>
            <a:t>Die auf dem Pensionskassenausweis dargestellte Kinder-IV-Rente resp. Waisen-Rente gelten pro Kind. Bei Eingabe dieser Rentenleistungen ist somit die Angabe "Anzahl rentenberechtigter Kinder" zwingend, damit diese Renten korrekt in den Berechnungen mitberücksichtigt werden können.</a:t>
          </a:fld>
          <a:endParaRPr lang="de-CH" sz="500" b="0" i="0" u="none" strike="noStrike">
            <a:solidFill>
              <a:srgbClr val="000000"/>
            </a:solidFill>
            <a:latin typeface="Aptos Narrow"/>
            <a:ea typeface="+mn-ea"/>
            <a:cs typeface="+mn-cs"/>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3D993-5784-4DB2-987B-6802294B9501}">
  <sheetPr codeName="Tabelle2"/>
  <dimension ref="A2:L63"/>
  <sheetViews>
    <sheetView showGridLines="0" showRowColHeaders="0" workbookViewId="0">
      <selection activeCell="D6" sqref="D6"/>
    </sheetView>
  </sheetViews>
  <sheetFormatPr baseColWidth="10" defaultColWidth="11.42578125" defaultRowHeight="15" customHeight="1" x14ac:dyDescent="0.25"/>
  <cols>
    <col min="1" max="1" width="2.7109375" style="2" customWidth="1"/>
    <col min="2" max="2" width="16.5703125" style="2" customWidth="1"/>
    <col min="3" max="16384" width="11.42578125" style="2"/>
  </cols>
  <sheetData>
    <row r="2" spans="1:12" ht="15" customHeight="1" x14ac:dyDescent="0.25">
      <c r="B2" s="15" t="s">
        <v>26</v>
      </c>
    </row>
    <row r="4" spans="1:12" ht="15" customHeight="1" x14ac:dyDescent="0.25">
      <c r="A4" s="3"/>
      <c r="B4" s="4" t="s">
        <v>17</v>
      </c>
      <c r="C4" s="5"/>
      <c r="D4" s="5"/>
      <c r="E4" s="5"/>
      <c r="F4" s="5"/>
      <c r="G4" s="5"/>
      <c r="H4" s="5"/>
      <c r="I4" s="5"/>
      <c r="J4" s="3"/>
      <c r="K4" s="3"/>
      <c r="L4" s="3" t="s">
        <v>228</v>
      </c>
    </row>
    <row r="5" spans="1:12" ht="15" customHeight="1" x14ac:dyDescent="0.25">
      <c r="J5" s="2" t="s">
        <v>93</v>
      </c>
    </row>
    <row r="6" spans="1:12" ht="15" customHeight="1" x14ac:dyDescent="0.25">
      <c r="B6" s="1" t="s">
        <v>1</v>
      </c>
      <c r="C6" s="1">
        <f>IF(f_frage_1="",0,1)</f>
        <v>0</v>
      </c>
      <c r="D6" s="1" t="b">
        <f>f_frage_1=VLOOKUP("Ja",m_texte,v_sprachcode,FALSE)</f>
        <v>0</v>
      </c>
      <c r="E6" s="2" t="str">
        <f t="shared" ref="E6:E13" si="0">IF(NOT(D6),L6,"")</f>
        <v>Nicht verheiratet oder keine eingetragene Partnerschaft</v>
      </c>
      <c r="J6" s="2">
        <f>NOT(D6)*1</f>
        <v>1</v>
      </c>
      <c r="L6" s="2" t="str">
        <f>VLOOKUP("Nicht verheiratet oder keine eingetragene Partnerschaft",m_texte,v_sprachcode,FALSE)</f>
        <v>Nicht verheiratet oder keine eingetragene Partnerschaft</v>
      </c>
    </row>
    <row r="7" spans="1:12" ht="15" customHeight="1" x14ac:dyDescent="0.25">
      <c r="B7" s="1" t="s">
        <v>2</v>
      </c>
      <c r="C7" s="1">
        <f>IF(f_frage_2="",0,1)</f>
        <v>0</v>
      </c>
      <c r="D7" s="1" t="b">
        <f>f_frage_2=VLOOKUP("Nein",m_texte,v_sprachcode,FALSE)</f>
        <v>0</v>
      </c>
      <c r="E7" s="2" t="str">
        <f t="shared" si="0"/>
        <v>1972 oder früher geboren</v>
      </c>
      <c r="J7" s="2">
        <f>NOT(D7)*1+J6</f>
        <v>2</v>
      </c>
      <c r="L7" s="2" t="str">
        <f>VLOOKUP("1972 oder früher geboren",m_texte,v_sprachcode,FALSE)</f>
        <v>1972 oder früher geboren</v>
      </c>
    </row>
    <row r="8" spans="1:12" ht="15" customHeight="1" x14ac:dyDescent="0.25">
      <c r="B8" s="1" t="s">
        <v>3</v>
      </c>
      <c r="C8" s="1">
        <f>IF(f_frage_3="",0,1)</f>
        <v>0</v>
      </c>
      <c r="D8" s="1" t="b">
        <f>f_frage_3=VLOOKUP("Nein",m_texte,v_sprachcode,FALSE)</f>
        <v>0</v>
      </c>
      <c r="E8" s="2" t="str">
        <f t="shared" si="0"/>
        <v>Partner als Mitbewirtschafter im Kantonssystem erfasst</v>
      </c>
      <c r="J8" s="2">
        <f t="shared" ref="J8:J13" si="1">NOT(D8)*1+J7</f>
        <v>3</v>
      </c>
      <c r="L8" s="2" t="str">
        <f>VLOOKUP("Partner als Mitbewirtschafter im Kantonssystem erfasst",m_texte,v_sprachcode,FALSE)</f>
        <v>Partner als Mitbewirtschafter im Kantonssystem erfasst</v>
      </c>
    </row>
    <row r="9" spans="1:12" ht="15" customHeight="1" x14ac:dyDescent="0.25">
      <c r="B9" s="1" t="s">
        <v>4</v>
      </c>
      <c r="C9" s="1">
        <f>IF(f_frage_4="",0,1)</f>
        <v>0</v>
      </c>
      <c r="D9" s="1" t="b">
        <f>f_frage_4=VLOOKUP("Ja",m_texte,v_sprachcode,FALSE)</f>
        <v>0</v>
      </c>
      <c r="E9" s="2" t="str">
        <f t="shared" si="0"/>
        <v>Steuererklärung: Keine Mitarbeit</v>
      </c>
      <c r="J9" s="2">
        <f t="shared" si="1"/>
        <v>4</v>
      </c>
      <c r="L9" s="2" t="str">
        <f>VLOOKUP("Steuererklärung: Keine Mitarbeit",m_texte,v_sprachcode,FALSE)</f>
        <v>Steuererklärung: Keine Mitarbeit</v>
      </c>
    </row>
    <row r="10" spans="1:12" ht="15" customHeight="1" x14ac:dyDescent="0.25">
      <c r="B10" s="1" t="s">
        <v>6</v>
      </c>
      <c r="C10" s="1">
        <f>IF(f_frage_5="",0,1)</f>
        <v>0</v>
      </c>
      <c r="D10" s="1" t="b">
        <f>f_frage_5=VLOOKUP("Nein",m_texte,v_sprachcode,FALSE)</f>
        <v>0</v>
      </c>
      <c r="E10" s="2" t="str">
        <f t="shared" si="0"/>
        <v>Einkommen über Schwellenwert</v>
      </c>
      <c r="J10" s="2">
        <f t="shared" si="1"/>
        <v>5</v>
      </c>
      <c r="L10" s="2" t="str">
        <f>VLOOKUP("Einkommen über Schwellenwert",m_texte,v_sprachcode,FALSE)</f>
        <v>Einkommen über Schwellenwert</v>
      </c>
    </row>
    <row r="11" spans="1:12" ht="15" customHeight="1" x14ac:dyDescent="0.25">
      <c r="B11" s="1" t="s">
        <v>7</v>
      </c>
      <c r="C11" s="1">
        <f>IF(f_frage_6="",0,1)</f>
        <v>0</v>
      </c>
      <c r="D11" s="1" t="b">
        <f>f_frage_6=VLOOKUP("Ja",m_texte,v_sprachcode,FALSE)</f>
        <v>0</v>
      </c>
      <c r="E11" s="2" t="str">
        <f t="shared" si="0"/>
        <v>Steuerbares Einkommen tiefer als CHF 12'000</v>
      </c>
      <c r="J11" s="2">
        <f t="shared" si="1"/>
        <v>6</v>
      </c>
      <c r="L11" s="2" t="str">
        <f>VLOOKUP("Steuerbares Einkommen tiefer als CHF 12'000",m_texte,v_sprachcode,FALSE)</f>
        <v>Steuerbares Einkommen tiefer als CHF 12'000</v>
      </c>
    </row>
    <row r="12" spans="1:12" ht="15" customHeight="1" x14ac:dyDescent="0.25">
      <c r="B12" s="1" t="s">
        <v>8</v>
      </c>
      <c r="C12" s="1">
        <f>IF(f_frage_7="",0,1)</f>
        <v>0</v>
      </c>
      <c r="D12" s="1" t="b">
        <f>f_frage_7=VLOOKUP("Nein",m_texte,v_sprachcode,FALSE)</f>
        <v>0</v>
      </c>
      <c r="E12" s="2" t="str">
        <f t="shared" si="0"/>
        <v>Betrieb ist eine juristische Person</v>
      </c>
      <c r="J12" s="2">
        <f t="shared" si="1"/>
        <v>7</v>
      </c>
      <c r="L12" s="2" t="str">
        <f>VLOOKUP("Betrieb ist eine juristische Person",m_texte,v_sprachcode,FALSE)</f>
        <v>Betrieb ist eine juristische Person</v>
      </c>
    </row>
    <row r="13" spans="1:12" ht="15" customHeight="1" x14ac:dyDescent="0.25">
      <c r="B13" s="1" t="s">
        <v>19</v>
      </c>
      <c r="C13" s="1">
        <f>IF(f_frage_8="",0,1)</f>
        <v>0</v>
      </c>
      <c r="D13" s="1" t="b">
        <f>f_frage_8=VLOOKUP("Nein",m_texte,v_sprachcode,FALSE)</f>
        <v>0</v>
      </c>
      <c r="E13" s="2" t="str">
        <f t="shared" si="0"/>
        <v>Sömmerungs- oder Gemeinschaftsweidebetrieb</v>
      </c>
      <c r="J13" s="2">
        <f t="shared" si="1"/>
        <v>8</v>
      </c>
      <c r="L13" s="2" t="str">
        <f>VLOOKUP("Sömmerungs- oder Gemeinschaftsweidebetrieb",m_texte,v_sprachcode,FALSE)</f>
        <v>Sömmerungs- oder Gemeinschaftsweidebetrieb</v>
      </c>
    </row>
    <row r="15" spans="1:12" ht="15" customHeight="1" x14ac:dyDescent="0.25">
      <c r="B15" s="2" t="s">
        <v>9</v>
      </c>
      <c r="C15" s="2" t="b">
        <f>AND(v_frage_1&gt;0,v_frage_2&gt;0,v_frage_3&gt;0,v_frage_4&gt;0,v_frage_5&gt;0,v_frage_6&gt;0,v_frage_7&gt;0,v_frage_8&gt;0)</f>
        <v>0</v>
      </c>
      <c r="D15" s="2">
        <f>D6*D7*D8*D9*D10*D11*D12*D13</f>
        <v>0</v>
      </c>
    </row>
    <row r="16" spans="1:12" ht="15" customHeight="1" x14ac:dyDescent="0.25">
      <c r="B16" s="2" t="s">
        <v>10</v>
      </c>
      <c r="D16" s="2" t="b">
        <f>v_resultat_fragen_1=1</f>
        <v>0</v>
      </c>
    </row>
    <row r="17" spans="1:11" ht="15" customHeight="1" x14ac:dyDescent="0.25">
      <c r="B17" s="2" t="s">
        <v>91</v>
      </c>
      <c r="D17" s="70" t="str">
        <f>INDEX(E6:E13,MATCH(1,J6:J13,0),1)
&amp;IF(NOT(ISERROR(MATCH(2,J6:J13,0))),"|"&amp;INDEX(E6:E13,MATCH(2,J6:J13,0),1),"")
&amp;IF(NOT(ISERROR(MATCH(3,J6:J13,0))),"|"&amp;INDEX(E6:E13,MATCH(3,J6:J13,0),1),"")
&amp;IF(NOT(ISERROR(MATCH(4,J6:J13,0))),"|"&amp;INDEX(E6:E13,MATCH(4,J6:J13,0),1),"")
&amp;IF(NOT(ISERROR(MATCH(5,J6:J13,0))),"|"&amp;INDEX(E6:E13,MATCH(5,J6:J13,0),1),"")</f>
        <v>Nicht verheiratet oder keine eingetragene Partnerschaft|1972 oder früher geboren|Partner als Mitbewirtschafter im Kantonssystem erfasst|Steuererklärung: Keine Mitarbeit|Einkommen über Schwellenwert</v>
      </c>
      <c r="E17" s="70"/>
      <c r="F17" s="70"/>
      <c r="G17" s="70"/>
      <c r="H17" s="70"/>
      <c r="I17" s="70"/>
      <c r="J17" s="70"/>
      <c r="K17" s="70"/>
    </row>
    <row r="18" spans="1:11" ht="15" customHeight="1" x14ac:dyDescent="0.25">
      <c r="D18" s="70"/>
      <c r="E18" s="70"/>
      <c r="F18" s="70"/>
      <c r="G18" s="70"/>
      <c r="H18" s="70"/>
      <c r="I18" s="70"/>
      <c r="J18" s="70"/>
      <c r="K18" s="70"/>
    </row>
    <row r="19" spans="1:11" ht="15" customHeight="1" x14ac:dyDescent="0.25">
      <c r="D19" s="70"/>
      <c r="E19" s="70"/>
      <c r="F19" s="70"/>
      <c r="G19" s="70"/>
      <c r="H19" s="70"/>
      <c r="I19" s="70"/>
      <c r="J19" s="70"/>
      <c r="K19" s="70"/>
    </row>
    <row r="20" spans="1:11" ht="15" customHeight="1" x14ac:dyDescent="0.25">
      <c r="A20" s="3"/>
      <c r="B20" s="4" t="s">
        <v>18</v>
      </c>
      <c r="C20" s="5"/>
      <c r="D20" s="5"/>
      <c r="E20" s="5"/>
      <c r="F20" s="5"/>
      <c r="G20" s="5"/>
      <c r="H20" s="5"/>
      <c r="I20" s="5"/>
      <c r="J20" s="3"/>
    </row>
    <row r="21" spans="1:11" ht="15" customHeight="1" x14ac:dyDescent="0.25">
      <c r="J21" s="2" t="s">
        <v>93</v>
      </c>
    </row>
    <row r="22" spans="1:11" ht="15" customHeight="1" x14ac:dyDescent="0.25">
      <c r="B22" s="1" t="s">
        <v>20</v>
      </c>
      <c r="C22" s="1" cm="1">
        <f t="array" ref="C22">IF(f_frage_9="",0,1)</f>
        <v>0</v>
      </c>
      <c r="D22" s="1" t="b">
        <f>f_frage_9=VLOOKUP("Nein",m_texte,v_sprachcode,FALSE)</f>
        <v>0</v>
      </c>
      <c r="E22" s="2" t="str">
        <f>IF(NOT(D22),VLOOKUP("Vorbehalt vorhanden",m_texte,v_sprachcode,FALSE),"")</f>
        <v>Vorbehalt liegt vor</v>
      </c>
      <c r="J22" s="2">
        <f>NOT(D22)*1</f>
        <v>1</v>
      </c>
    </row>
    <row r="23" spans="1:11" ht="15" customHeight="1" x14ac:dyDescent="0.25">
      <c r="B23" s="1" t="s">
        <v>24</v>
      </c>
      <c r="C23" s="1" cm="1">
        <f t="array" ref="C23">IF(f_frage_10="",0,1)</f>
        <v>0</v>
      </c>
      <c r="D23" s="1" t="b">
        <f>f_frage_10=VLOOKUP("Nein",m_texte,v_sprachcode,FALSE)</f>
        <v>0</v>
      </c>
      <c r="E23" s="2" t="str">
        <f>IF(NOT(D23),VLOOKUP("Ablehnung vorhanden",m_texte,v_sprachcode,FALSE),"")</f>
        <v xml:space="preserve">Ablehnung liegt vor </v>
      </c>
      <c r="J23" s="2">
        <f>NOT(D23)*1+J22</f>
        <v>2</v>
      </c>
    </row>
    <row r="25" spans="1:11" ht="15" customHeight="1" x14ac:dyDescent="0.25">
      <c r="B25" s="2" t="s">
        <v>9</v>
      </c>
      <c r="C25" s="2" t="b">
        <f>AND(v_frage_9&gt;0,v_frage_10&gt;0)</f>
        <v>0</v>
      </c>
      <c r="D25" s="2">
        <f>D22*D23</f>
        <v>0</v>
      </c>
    </row>
    <row r="26" spans="1:11" ht="15" customHeight="1" x14ac:dyDescent="0.25">
      <c r="B26" s="2" t="s">
        <v>10</v>
      </c>
      <c r="D26" s="2" t="b">
        <f>v_resultat_fragen_2=1</f>
        <v>0</v>
      </c>
    </row>
    <row r="28" spans="1:11" ht="15" customHeight="1" x14ac:dyDescent="0.25">
      <c r="B28" s="2" t="s">
        <v>43</v>
      </c>
      <c r="D28" s="2" t="b">
        <f>f_step2_complete=VLOOKUP("Ja",m_texte,v_sprachcode,FALSE)</f>
        <v>0</v>
      </c>
    </row>
    <row r="30" spans="1:11" ht="15" customHeight="1" x14ac:dyDescent="0.25">
      <c r="B30" s="2" t="s">
        <v>91</v>
      </c>
      <c r="D30" s="70" t="str">
        <f>INDEX(E22:E23,MATCH(1,J22:J23,0),1)
&amp;IF(NOT(ISERROR(MATCH(2,J22:J23,0))),"|"&amp;INDEX(E22:E23,MATCH(2,J22:J23,0),1),"")</f>
        <v xml:space="preserve">Vorbehalt liegt vor|Ablehnung liegt vor </v>
      </c>
      <c r="E30" s="70"/>
      <c r="F30" s="70"/>
      <c r="G30" s="70"/>
      <c r="H30" s="70"/>
      <c r="I30" s="70"/>
      <c r="J30" s="70"/>
      <c r="K30" s="70"/>
    </row>
    <row r="31" spans="1:11" ht="15" customHeight="1" x14ac:dyDescent="0.25">
      <c r="D31" s="70"/>
      <c r="E31" s="70"/>
      <c r="F31" s="70"/>
      <c r="G31" s="70"/>
      <c r="H31" s="70"/>
      <c r="I31" s="70"/>
      <c r="J31" s="70"/>
      <c r="K31" s="70"/>
    </row>
    <row r="32" spans="1:11" ht="15" customHeight="1" x14ac:dyDescent="0.25">
      <c r="D32" s="70"/>
      <c r="E32" s="70"/>
      <c r="F32" s="70"/>
      <c r="G32" s="70"/>
      <c r="H32" s="70"/>
      <c r="I32" s="70"/>
      <c r="J32" s="70"/>
      <c r="K32" s="70"/>
    </row>
    <row r="34" spans="1:11" ht="15" customHeight="1" x14ac:dyDescent="0.25">
      <c r="A34" s="3"/>
      <c r="B34" s="4" t="s">
        <v>23</v>
      </c>
      <c r="C34" s="5"/>
      <c r="D34" s="5"/>
      <c r="E34" s="5"/>
      <c r="F34" s="5"/>
      <c r="G34" s="5"/>
      <c r="H34" s="5"/>
      <c r="I34" s="5"/>
      <c r="J34" s="3"/>
    </row>
    <row r="35" spans="1:11" ht="15" customHeight="1" x14ac:dyDescent="0.25">
      <c r="J35" s="2" t="s">
        <v>93</v>
      </c>
    </row>
    <row r="36" spans="1:11" ht="15" customHeight="1" x14ac:dyDescent="0.25">
      <c r="B36" s="1" t="s">
        <v>25</v>
      </c>
      <c r="C36" s="1">
        <f>IF(f_frage_11="",0,1)</f>
        <v>0</v>
      </c>
      <c r="D36" s="1" t="b">
        <f>f_frage_11=VLOOKUP("Nein",m_texte,v_sprachcode,FALSE)</f>
        <v>0</v>
      </c>
      <c r="E36" s="2" t="str">
        <f>IF(NOT(D36),VLOOKUP("Vorbehalt vorhanden",m_texte,v_sprachcode,FALSE),"")</f>
        <v>Vorbehalt liegt vor</v>
      </c>
      <c r="J36" s="2">
        <f>NOT(D36)*1</f>
        <v>1</v>
      </c>
    </row>
    <row r="37" spans="1:11" ht="15" customHeight="1" x14ac:dyDescent="0.25">
      <c r="B37" s="1" t="s">
        <v>27</v>
      </c>
      <c r="C37" s="1">
        <f>IF(f_frage_12="",0,1)</f>
        <v>0</v>
      </c>
      <c r="D37" s="1" t="b">
        <f>f_frage_12=VLOOKUP("Nein",m_texte,v_sprachcode,FALSE)</f>
        <v>0</v>
      </c>
      <c r="E37" s="2" t="str">
        <f>IF(NOT(D37),VLOOKUP("Ablehnung vorhanden",m_texte,v_sprachcode,FALSE),"")</f>
        <v xml:space="preserve">Ablehnung liegt vor </v>
      </c>
      <c r="J37" s="2">
        <f>NOT(D37)*1+J36</f>
        <v>2</v>
      </c>
    </row>
    <row r="39" spans="1:11" ht="15" customHeight="1" x14ac:dyDescent="0.25">
      <c r="B39" s="2" t="s">
        <v>9</v>
      </c>
      <c r="C39" s="2" t="b">
        <f>AND(v_frage_11&gt;0,v_frage_12&gt;0)</f>
        <v>0</v>
      </c>
      <c r="D39" s="2">
        <f>D36*D37</f>
        <v>0</v>
      </c>
    </row>
    <row r="40" spans="1:11" ht="15" customHeight="1" x14ac:dyDescent="0.25">
      <c r="B40" s="2" t="s">
        <v>10</v>
      </c>
      <c r="D40" s="2" t="b">
        <f>v_resultat_fragen_3=1</f>
        <v>0</v>
      </c>
    </row>
    <row r="42" spans="1:11" ht="15" customHeight="1" x14ac:dyDescent="0.25">
      <c r="B42" s="2" t="s">
        <v>43</v>
      </c>
      <c r="D42" s="2" t="b">
        <f>f_step3_complete=VLOOKUP("Ja",m_texte,v_sprachcode,FALSE)</f>
        <v>0</v>
      </c>
    </row>
    <row r="44" spans="1:11" ht="15" customHeight="1" x14ac:dyDescent="0.25">
      <c r="B44" s="2" t="s">
        <v>91</v>
      </c>
      <c r="D44" s="70" t="str">
        <f>INDEX(E36:E37,MATCH(1,J36:J37,0),1)
&amp;IF(NOT(ISERROR(MATCH(2,J36:J37,0))),"|"&amp;INDEX(E36:E37,MATCH(2,J36:J37,0),1),"")</f>
        <v xml:space="preserve">Vorbehalt liegt vor|Ablehnung liegt vor </v>
      </c>
      <c r="E44" s="70"/>
      <c r="F44" s="70"/>
      <c r="G44" s="70"/>
      <c r="H44" s="70"/>
      <c r="I44" s="70"/>
      <c r="J44" s="70"/>
      <c r="K44" s="70"/>
    </row>
    <row r="45" spans="1:11" ht="15" customHeight="1" x14ac:dyDescent="0.25">
      <c r="D45" s="70"/>
      <c r="E45" s="70"/>
      <c r="F45" s="70"/>
      <c r="G45" s="70"/>
      <c r="H45" s="70"/>
      <c r="I45" s="70"/>
      <c r="J45" s="70"/>
      <c r="K45" s="70"/>
    </row>
    <row r="46" spans="1:11" ht="15" customHeight="1" x14ac:dyDescent="0.25">
      <c r="D46" s="70"/>
      <c r="E46" s="70"/>
      <c r="F46" s="70"/>
      <c r="G46" s="70"/>
      <c r="H46" s="70"/>
      <c r="I46" s="70"/>
      <c r="J46" s="70"/>
      <c r="K46" s="70"/>
    </row>
    <row r="50" spans="1:10" ht="15" customHeight="1" x14ac:dyDescent="0.25">
      <c r="A50" s="3"/>
      <c r="B50" s="4" t="s">
        <v>11</v>
      </c>
      <c r="C50" s="5"/>
      <c r="D50" s="5"/>
      <c r="E50" s="5"/>
      <c r="F50" s="5"/>
      <c r="G50" s="5"/>
      <c r="H50" s="5"/>
      <c r="I50" s="5"/>
      <c r="J50" s="3"/>
    </row>
    <row r="51" spans="1:10" ht="15" customHeight="1" x14ac:dyDescent="0.25">
      <c r="B51" s="6" t="str">
        <f>VLOOKUP("Ja",m_texte,v_sprachcode,FALSE)</f>
        <v>Ja</v>
      </c>
    </row>
    <row r="52" spans="1:10" ht="15" customHeight="1" x14ac:dyDescent="0.25">
      <c r="B52" s="6" t="str">
        <f>VLOOKUP("Nein",m_texte,v_sprachcode,FALSE)</f>
        <v>Nein</v>
      </c>
    </row>
    <row r="54" spans="1:10" ht="15" customHeight="1" x14ac:dyDescent="0.25">
      <c r="A54" s="3"/>
      <c r="B54" s="4" t="s">
        <v>34</v>
      </c>
      <c r="C54" s="5"/>
      <c r="D54" s="5"/>
      <c r="E54" s="5"/>
      <c r="F54" s="5"/>
      <c r="G54" s="5"/>
      <c r="H54" s="5"/>
      <c r="I54" s="5"/>
      <c r="J54" s="3"/>
    </row>
    <row r="55" spans="1:10" ht="15" customHeight="1" x14ac:dyDescent="0.25">
      <c r="B55" s="6" t="str">
        <f>VLOOKUP("Krankheit",m_texte,v_sprachcode,FALSE)</f>
        <v>Krankheit</v>
      </c>
    </row>
    <row r="56" spans="1:10" ht="15" customHeight="1" x14ac:dyDescent="0.25">
      <c r="B56" s="6" t="str">
        <f>VLOOKUP("Unfall",m_texte,v_sprachcode,FALSE)</f>
        <v>Unfall</v>
      </c>
    </row>
    <row r="57" spans="1:10" ht="15" customHeight="1" x14ac:dyDescent="0.25">
      <c r="B57" s="6" t="str">
        <f>VLOOKUP("Krankheit und Unfall",m_texte,v_sprachcode,FALSE)</f>
        <v>Krankheit und Unfall</v>
      </c>
    </row>
    <row r="60" spans="1:10" ht="15" customHeight="1" x14ac:dyDescent="0.25">
      <c r="A60" s="3"/>
      <c r="B60" s="4" t="s">
        <v>152</v>
      </c>
      <c r="C60" s="4" t="s">
        <v>153</v>
      </c>
      <c r="D60" s="56" t="s">
        <v>154</v>
      </c>
      <c r="E60" s="4"/>
      <c r="F60" s="56" t="s">
        <v>155</v>
      </c>
      <c r="G60" s="3"/>
      <c r="H60" s="3"/>
      <c r="I60" s="3"/>
      <c r="J60" s="3"/>
    </row>
    <row r="61" spans="1:10" ht="15" customHeight="1" x14ac:dyDescent="0.25">
      <c r="B61" s="6" t="s">
        <v>148</v>
      </c>
      <c r="C61" s="2">
        <v>1</v>
      </c>
      <c r="D61" s="2" t="str" cm="1">
        <f t="array" ref="D61">INDEX(l_sprache,f_sprache,1)</f>
        <v>DE</v>
      </c>
      <c r="F61" s="2">
        <f>f_sprache+1</f>
        <v>2</v>
      </c>
    </row>
    <row r="62" spans="1:10" ht="15" customHeight="1" x14ac:dyDescent="0.25">
      <c r="B62" s="6" t="s">
        <v>149</v>
      </c>
    </row>
    <row r="63" spans="1:10" ht="15" customHeight="1" x14ac:dyDescent="0.25">
      <c r="B63" s="6" t="s">
        <v>150</v>
      </c>
    </row>
  </sheetData>
  <mergeCells count="3">
    <mergeCell ref="D17:K19"/>
    <mergeCell ref="D30:K32"/>
    <mergeCell ref="D44:K46"/>
  </mergeCells>
  <phoneticPr fontId="12" type="noConversion"/>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20278-DE44-4E0D-8364-47B8C9FF71DB}">
  <sheetPr codeName="Tabelle6"/>
  <dimension ref="A1:J59"/>
  <sheetViews>
    <sheetView showGridLines="0" showRowColHeaders="0" topLeftCell="A25" zoomScale="85" zoomScaleNormal="85" workbookViewId="0">
      <selection activeCell="J59" sqref="J59"/>
    </sheetView>
  </sheetViews>
  <sheetFormatPr baseColWidth="10" defaultColWidth="11.42578125" defaultRowHeight="13.5" x14ac:dyDescent="0.25"/>
  <cols>
    <col min="1" max="1" width="2.7109375" style="21" customWidth="1"/>
    <col min="2" max="16384" width="11.42578125" style="21"/>
  </cols>
  <sheetData>
    <row r="1" spans="1:10" s="2" customFormat="1" ht="15" customHeight="1" x14ac:dyDescent="0.25"/>
    <row r="2" spans="1:10" s="2" customFormat="1" ht="15" customHeight="1" x14ac:dyDescent="0.25">
      <c r="B2" s="15" t="s">
        <v>41</v>
      </c>
    </row>
    <row r="3" spans="1:10" s="2" customFormat="1" ht="15" customHeight="1" x14ac:dyDescent="0.25"/>
    <row r="4" spans="1:10" s="2" customFormat="1" ht="15" customHeight="1" x14ac:dyDescent="0.25">
      <c r="A4" s="3"/>
      <c r="B4" s="4" t="s">
        <v>38</v>
      </c>
      <c r="C4" s="5"/>
      <c r="D4" s="5"/>
      <c r="E4" s="5"/>
      <c r="F4" s="5"/>
      <c r="G4" s="5"/>
      <c r="H4" s="5"/>
      <c r="I4" s="5"/>
      <c r="J4" s="3"/>
    </row>
    <row r="5" spans="1:10" s="2" customFormat="1" ht="15" customHeight="1" x14ac:dyDescent="0.25">
      <c r="D5" s="14"/>
      <c r="E5" s="14"/>
    </row>
    <row r="6" spans="1:10" s="2" customFormat="1" ht="15" customHeight="1" x14ac:dyDescent="0.25">
      <c r="B6" s="1" t="s">
        <v>39</v>
      </c>
      <c r="C6" s="1"/>
      <c r="E6" s="2">
        <f>ROUND(SUMIFS(Taggeld!W17:W18,Taggeld!Z17:Z18,"&lt;=60"),0)</f>
        <v>0</v>
      </c>
    </row>
    <row r="7" spans="1:10" s="2" customFormat="1" ht="15" customHeight="1" x14ac:dyDescent="0.25">
      <c r="B7" s="1"/>
      <c r="C7" s="1"/>
    </row>
    <row r="8" spans="1:10" s="2" customFormat="1" ht="15" customHeight="1" x14ac:dyDescent="0.25">
      <c r="B8" s="20" t="s">
        <v>40</v>
      </c>
      <c r="C8" s="1"/>
      <c r="E8" s="13">
        <f>SUM(E6:E7)</f>
        <v>0</v>
      </c>
    </row>
    <row r="9" spans="1:10" s="2" customFormat="1" ht="15" customHeight="1" x14ac:dyDescent="0.25">
      <c r="B9" s="1"/>
      <c r="C9" s="1"/>
    </row>
    <row r="10" spans="1:10" s="2" customFormat="1" ht="15" customHeight="1" x14ac:dyDescent="0.25">
      <c r="A10" s="3"/>
      <c r="B10" s="4" t="s">
        <v>143</v>
      </c>
      <c r="C10" s="5"/>
      <c r="D10" s="5"/>
      <c r="E10" s="5"/>
      <c r="F10" s="5"/>
      <c r="G10" s="5"/>
      <c r="H10" s="5"/>
      <c r="I10" s="5"/>
      <c r="J10" s="3"/>
    </row>
    <row r="11" spans="1:10" s="2" customFormat="1" ht="15" customHeight="1" x14ac:dyDescent="0.25">
      <c r="D11" s="14"/>
      <c r="E11" s="14"/>
    </row>
    <row r="12" spans="1:10" s="2" customFormat="1" ht="15" customHeight="1" x14ac:dyDescent="0.25">
      <c r="B12" s="1" t="s">
        <v>119</v>
      </c>
      <c r="C12" s="1"/>
      <c r="E12" s="2">
        <f>SUMIFS(Taggeld!V23:V25,Taggeld!R23:R25,VLOOKUP("Krankheit",m_texte,v_sprachcode,FALSE),Taggeld!Y23:Y25,"&lt;=60")</f>
        <v>0</v>
      </c>
    </row>
    <row r="13" spans="1:10" s="2" customFormat="1" ht="15" customHeight="1" x14ac:dyDescent="0.25">
      <c r="B13" s="1" t="s">
        <v>120</v>
      </c>
      <c r="C13" s="1"/>
      <c r="E13" s="2">
        <f>SUMIFS(Taggeld!V23:V25,Taggeld!R23:R25,VLOOKUP("Krankheit und Unfall",m_texte,v_sprachcode,FALSE),Taggeld!Y23:Y25,"&lt;=60")</f>
        <v>0</v>
      </c>
    </row>
    <row r="14" spans="1:10" s="2" customFormat="1" ht="15" customHeight="1" x14ac:dyDescent="0.25">
      <c r="B14" s="20" t="s">
        <v>145</v>
      </c>
      <c r="C14" s="1"/>
      <c r="E14" s="13">
        <f>SUM(E12:E13)</f>
        <v>0</v>
      </c>
    </row>
    <row r="15" spans="1:10" s="2" customFormat="1" ht="15" customHeight="1" x14ac:dyDescent="0.25">
      <c r="B15" s="20"/>
      <c r="C15" s="1"/>
      <c r="E15" s="13"/>
    </row>
    <row r="16" spans="1:10" s="2" customFormat="1" ht="15" customHeight="1" x14ac:dyDescent="0.25">
      <c r="B16" s="1" t="s">
        <v>121</v>
      </c>
      <c r="C16" s="1"/>
      <c r="E16" s="2">
        <f>SUMIFS(Taggeld!V23:V25,Taggeld!R23:R25,VLOOKUP("Unfall",m_texte,v_sprachcode,FALSE),Taggeld!Y23:Y25,"&lt;=60")</f>
        <v>0</v>
      </c>
    </row>
    <row r="17" spans="1:10" s="2" customFormat="1" ht="15" customHeight="1" x14ac:dyDescent="0.25">
      <c r="B17" s="1" t="s">
        <v>120</v>
      </c>
      <c r="C17" s="1"/>
      <c r="E17" s="2">
        <f>SUMIFS(Taggeld!V23:V25,Taggeld!R23:R25,VLOOKUP("Krankheit und Unfall",m_texte,v_sprachcode,FALSE),Taggeld!Y23:Y25,"&lt;=60")</f>
        <v>0</v>
      </c>
    </row>
    <row r="18" spans="1:10" s="2" customFormat="1" ht="15" customHeight="1" x14ac:dyDescent="0.25">
      <c r="B18" s="20" t="s">
        <v>144</v>
      </c>
      <c r="C18" s="1"/>
      <c r="E18" s="13">
        <f>SUM(E16:E17)</f>
        <v>0</v>
      </c>
    </row>
    <row r="20" spans="1:10" x14ac:dyDescent="0.25">
      <c r="B20" s="22" t="s">
        <v>42</v>
      </c>
      <c r="E20" s="22">
        <f>MIN(SUM(E8,E14),SUM(E8,E18))</f>
        <v>0</v>
      </c>
      <c r="I20" s="40" t="s">
        <v>95</v>
      </c>
      <c r="J20" s="39" t="b">
        <f>total_taggeld_anrechenbar&gt;=100</f>
        <v>0</v>
      </c>
    </row>
    <row r="23" spans="1:10" s="2" customFormat="1" ht="15" customHeight="1" x14ac:dyDescent="0.25">
      <c r="A23" s="41"/>
      <c r="B23" s="42" t="s">
        <v>57</v>
      </c>
      <c r="C23" s="43"/>
      <c r="D23" s="43"/>
      <c r="E23" s="43"/>
      <c r="F23" s="43"/>
      <c r="G23" s="43"/>
      <c r="H23" s="43"/>
      <c r="I23" s="43"/>
      <c r="J23" s="41"/>
    </row>
    <row r="24" spans="1:10" s="2" customFormat="1" ht="15" customHeight="1" x14ac:dyDescent="0.25">
      <c r="D24" s="14"/>
      <c r="E24" s="14"/>
    </row>
    <row r="25" spans="1:10" s="2" customFormat="1" ht="15" customHeight="1" x14ac:dyDescent="0.25">
      <c r="B25" s="1" t="s">
        <v>59</v>
      </c>
      <c r="C25" s="1"/>
      <c r="E25" s="2">
        <f>SUM(Risiko!I18:I20)</f>
        <v>0</v>
      </c>
      <c r="G25" s="1"/>
    </row>
    <row r="26" spans="1:10" s="2" customFormat="1" ht="15" customHeight="1" x14ac:dyDescent="0.25">
      <c r="B26" s="1" t="s">
        <v>61</v>
      </c>
      <c r="C26" s="1"/>
      <c r="E26" s="2">
        <f>SUM(Risiko!L18:L20)*f_anz_kinder</f>
        <v>0</v>
      </c>
    </row>
    <row r="27" spans="1:10" s="2" customFormat="1" ht="15" customHeight="1" x14ac:dyDescent="0.25">
      <c r="B27" s="20" t="s">
        <v>62</v>
      </c>
      <c r="C27" s="1"/>
      <c r="E27" s="13">
        <f>SUM(E25:E26)</f>
        <v>0</v>
      </c>
    </row>
    <row r="29" spans="1:10" s="2" customFormat="1" ht="15" customHeight="1" x14ac:dyDescent="0.25">
      <c r="A29" s="41"/>
      <c r="B29" s="42" t="s">
        <v>65</v>
      </c>
      <c r="C29" s="43"/>
      <c r="D29" s="43"/>
      <c r="E29" s="43"/>
      <c r="F29" s="43"/>
      <c r="G29" s="43"/>
      <c r="H29" s="43"/>
      <c r="I29" s="43"/>
      <c r="J29" s="41"/>
    </row>
    <row r="30" spans="1:10" s="2" customFormat="1" ht="15" customHeight="1" x14ac:dyDescent="0.25">
      <c r="D30" s="14"/>
      <c r="E30" s="14"/>
    </row>
    <row r="31" spans="1:10" s="2" customFormat="1" ht="15" customHeight="1" x14ac:dyDescent="0.25">
      <c r="B31" s="1" t="s">
        <v>59</v>
      </c>
      <c r="C31" s="1"/>
      <c r="E31" s="2">
        <f>SUMIFS(Risiko!I27:I30,Risiko!O27:O30,VLOOKUP("Krankheit",m_texte,v_sprachcode,FALSE))</f>
        <v>0</v>
      </c>
      <c r="G31" s="1" t="s">
        <v>63</v>
      </c>
      <c r="J31" s="2">
        <f>SUMIFS(Risiko!L27:L30,Risiko!O27:O30,VLOOKUP("Krankheit",m_texte,v_sprachcode,FALSE))</f>
        <v>0</v>
      </c>
    </row>
    <row r="32" spans="1:10" s="2" customFormat="1" ht="15" customHeight="1" x14ac:dyDescent="0.25">
      <c r="B32" s="1" t="s">
        <v>60</v>
      </c>
      <c r="C32" s="1"/>
      <c r="E32" s="2">
        <f>SUMIFS(Risiko!I27:I30,Risiko!O27:O30,VLOOKUP("Krankheit und Unfall",m_texte,v_sprachcode,FALSE))</f>
        <v>0</v>
      </c>
      <c r="G32" s="1" t="s">
        <v>64</v>
      </c>
      <c r="J32" s="2">
        <f>SUMIFS(Risiko!L27:L30,Risiko!O27:O30,VLOOKUP("Krankheit und Unfall",m_texte,v_sprachcode,FALSE))</f>
        <v>0</v>
      </c>
    </row>
    <row r="33" spans="1:10" s="2" customFormat="1" ht="15" customHeight="1" x14ac:dyDescent="0.25">
      <c r="B33" s="20" t="s">
        <v>138</v>
      </c>
      <c r="C33" s="1"/>
      <c r="E33" s="13">
        <f>SUM(E31:E32)</f>
        <v>0</v>
      </c>
      <c r="G33" s="20" t="s">
        <v>123</v>
      </c>
      <c r="H33" s="1"/>
      <c r="J33" s="13">
        <f>SUM(J31:J32)</f>
        <v>0</v>
      </c>
    </row>
    <row r="35" spans="1:10" x14ac:dyDescent="0.25">
      <c r="B35" s="1" t="s">
        <v>125</v>
      </c>
      <c r="C35" s="1"/>
      <c r="D35" s="2"/>
      <c r="E35" s="2">
        <f>SUMIFS(Risiko!I27:I30,Risiko!O27:O30,VLOOKUP("Unfall",m_texte,v_sprachcode,FALSE))</f>
        <v>0</v>
      </c>
      <c r="G35" s="1" t="s">
        <v>122</v>
      </c>
      <c r="H35" s="2"/>
      <c r="I35" s="2"/>
      <c r="J35" s="2">
        <f>SUMIFS(Risiko!L27:L30,Risiko!O27:O30,VLOOKUP("Unfall",m_texte,v_sprachcode,FALSE))</f>
        <v>0</v>
      </c>
    </row>
    <row r="36" spans="1:10" x14ac:dyDescent="0.25">
      <c r="B36" s="1" t="s">
        <v>60</v>
      </c>
      <c r="C36" s="1"/>
      <c r="D36" s="2"/>
      <c r="E36" s="2">
        <f>SUMIFS(Risiko!I27:I30,Risiko!O27:O30,VLOOKUP("Krankheit und Unfall",m_texte,v_sprachcode,FALSE))</f>
        <v>0</v>
      </c>
      <c r="G36" s="1" t="s">
        <v>64</v>
      </c>
      <c r="H36" s="2"/>
      <c r="I36" s="2"/>
      <c r="J36" s="2">
        <f>SUMIFS(Risiko!L27:L30,Risiko!O27:O30,VLOOKUP("Krankheit und Unfall",m_texte,v_sprachcode,FALSE))</f>
        <v>0</v>
      </c>
    </row>
    <row r="37" spans="1:10" x14ac:dyDescent="0.25">
      <c r="B37" s="20" t="s">
        <v>139</v>
      </c>
      <c r="C37" s="1"/>
      <c r="D37" s="2"/>
      <c r="E37" s="13">
        <f>SUM(E35:E36)</f>
        <v>0</v>
      </c>
      <c r="G37" s="20" t="s">
        <v>124</v>
      </c>
      <c r="H37" s="1"/>
      <c r="I37" s="2"/>
      <c r="J37" s="13">
        <f>SUM(J35:J36)</f>
        <v>0</v>
      </c>
    </row>
    <row r="39" spans="1:10" x14ac:dyDescent="0.25">
      <c r="B39" s="22" t="s">
        <v>70</v>
      </c>
      <c r="E39" s="22">
        <f>E27+MIN(E33,E37)</f>
        <v>0</v>
      </c>
      <c r="F39" s="38">
        <f>E39/24000</f>
        <v>0</v>
      </c>
    </row>
    <row r="40" spans="1:10" x14ac:dyDescent="0.25">
      <c r="B40" s="22" t="s">
        <v>71</v>
      </c>
      <c r="E40" s="22">
        <f>MIN(J33,J37)</f>
        <v>0</v>
      </c>
      <c r="F40" s="38">
        <f>E40/300000</f>
        <v>0</v>
      </c>
      <c r="I40" s="40" t="s">
        <v>72</v>
      </c>
      <c r="J40" s="39" t="b">
        <f>(F39+F40)&gt;=1</f>
        <v>0</v>
      </c>
    </row>
    <row r="42" spans="1:10" s="2" customFormat="1" ht="15" customHeight="1" x14ac:dyDescent="0.25">
      <c r="A42" s="41"/>
      <c r="B42" s="42" t="s">
        <v>66</v>
      </c>
      <c r="C42" s="43"/>
      <c r="D42" s="43"/>
      <c r="E42" s="43"/>
      <c r="F42" s="43"/>
      <c r="G42" s="43"/>
      <c r="H42" s="43"/>
      <c r="I42" s="43"/>
      <c r="J42" s="41"/>
    </row>
    <row r="43" spans="1:10" s="2" customFormat="1" ht="15" customHeight="1" x14ac:dyDescent="0.25">
      <c r="D43" s="14"/>
      <c r="E43" s="14"/>
    </row>
    <row r="44" spans="1:10" s="2" customFormat="1" ht="15" customHeight="1" x14ac:dyDescent="0.25">
      <c r="B44" s="1" t="s">
        <v>67</v>
      </c>
      <c r="C44" s="1"/>
      <c r="E44" s="2">
        <f>SUM(Risiko!O18:O20)</f>
        <v>0</v>
      </c>
      <c r="G44" s="1" t="s">
        <v>73</v>
      </c>
      <c r="J44" s="2">
        <f>SUMIFS(Risiko!U18:U20,Risiko!X18:X20,VLOOKUP("Krankheit",m_texte,v_sprachcode,FALSE))</f>
        <v>0</v>
      </c>
    </row>
    <row r="45" spans="1:10" s="2" customFormat="1" ht="15" customHeight="1" x14ac:dyDescent="0.25">
      <c r="B45" s="1" t="s">
        <v>69</v>
      </c>
      <c r="C45" s="1"/>
      <c r="E45" s="2">
        <f>SUM(Risiko!R18:R20)*f_anz_kinder</f>
        <v>0</v>
      </c>
      <c r="G45" s="1" t="s">
        <v>74</v>
      </c>
      <c r="J45" s="2">
        <f>SUMIFS(Risiko!U18:U20,Risiko!X18:X20,VLOOKUP("Krankheit und Unfall",m_texte,v_sprachcode,FALSE))</f>
        <v>0</v>
      </c>
    </row>
    <row r="46" spans="1:10" s="2" customFormat="1" ht="15" customHeight="1" x14ac:dyDescent="0.25">
      <c r="B46" s="20" t="s">
        <v>146</v>
      </c>
      <c r="C46" s="1"/>
      <c r="E46" s="13">
        <f>SUM(E44:E45)</f>
        <v>0</v>
      </c>
      <c r="G46" s="20" t="s">
        <v>75</v>
      </c>
      <c r="H46" s="1"/>
      <c r="J46" s="13">
        <f>SUM(J44:J45)</f>
        <v>0</v>
      </c>
    </row>
    <row r="48" spans="1:10" s="2" customFormat="1" ht="15" customHeight="1" x14ac:dyDescent="0.25">
      <c r="A48" s="41"/>
      <c r="B48" s="42" t="s">
        <v>76</v>
      </c>
      <c r="C48" s="43"/>
      <c r="D48" s="43"/>
      <c r="E48" s="43"/>
      <c r="F48" s="43"/>
      <c r="G48" s="43"/>
      <c r="H48" s="43"/>
      <c r="I48" s="43"/>
      <c r="J48" s="41"/>
    </row>
    <row r="49" spans="2:10" s="2" customFormat="1" ht="15" customHeight="1" x14ac:dyDescent="0.25">
      <c r="D49" s="14"/>
      <c r="E49" s="14"/>
    </row>
    <row r="50" spans="2:10" s="2" customFormat="1" ht="15" customHeight="1" x14ac:dyDescent="0.25">
      <c r="B50" s="1" t="s">
        <v>67</v>
      </c>
      <c r="C50" s="1"/>
      <c r="E50" s="2">
        <f>SUMIFS(Risiko!T27:T30,Risiko!Z27:Z30,VLOOKUP("Krankheit",m_texte,v_sprachcode,FALSE))</f>
        <v>0</v>
      </c>
      <c r="G50" s="1" t="s">
        <v>73</v>
      </c>
      <c r="J50" s="2">
        <f>SUMIFS(Risiko!W27:W30,Risiko!Z27:Z30,VLOOKUP("Krankheit",m_texte,v_sprachcode,FALSE))</f>
        <v>0</v>
      </c>
    </row>
    <row r="51" spans="2:10" s="2" customFormat="1" ht="15" customHeight="1" x14ac:dyDescent="0.25">
      <c r="B51" s="1" t="s">
        <v>68</v>
      </c>
      <c r="C51" s="1"/>
      <c r="E51" s="2">
        <f>SUMIFS(Risiko!T27:T30,Risiko!Z27:Z30,VLOOKUP("Krankheit und Unfall",m_texte,v_sprachcode,FALSE))</f>
        <v>0</v>
      </c>
      <c r="G51" s="1" t="s">
        <v>74</v>
      </c>
      <c r="J51" s="2">
        <f>SUMIFS(Risiko!W27:W30,Risiko!Z27:Z30,VLOOKUP("Krankheit und Unfall",m_texte,v_sprachcode,FALSE))</f>
        <v>0</v>
      </c>
    </row>
    <row r="52" spans="2:10" s="2" customFormat="1" ht="15" customHeight="1" x14ac:dyDescent="0.25">
      <c r="B52" s="20" t="s">
        <v>140</v>
      </c>
      <c r="C52" s="1"/>
      <c r="E52" s="13">
        <f>SUM(E50:E51)</f>
        <v>0</v>
      </c>
      <c r="G52" s="20" t="s">
        <v>130</v>
      </c>
      <c r="H52" s="1"/>
      <c r="J52" s="13">
        <f>SUM(J50:J51)</f>
        <v>0</v>
      </c>
    </row>
    <row r="54" spans="2:10" x14ac:dyDescent="0.25">
      <c r="B54" s="1" t="s">
        <v>131</v>
      </c>
      <c r="C54" s="1"/>
      <c r="D54" s="2"/>
      <c r="E54" s="2">
        <f>SUMIFS(Risiko!T27:T30,Risiko!Z27:Z30,VLOOKUP("Unfall",m_texte,v_sprachcode,FALSE))</f>
        <v>0</v>
      </c>
      <c r="G54" s="1" t="s">
        <v>128</v>
      </c>
      <c r="H54" s="2"/>
      <c r="I54" s="2"/>
      <c r="J54" s="2">
        <f>SUMIFS(Risiko!W27:W30,Risiko!Z27:Z30,VLOOKUP("Unfall",m_texte,v_sprachcode,FALSE))</f>
        <v>0</v>
      </c>
    </row>
    <row r="55" spans="2:10" x14ac:dyDescent="0.25">
      <c r="B55" s="1" t="s">
        <v>68</v>
      </c>
      <c r="C55" s="1"/>
      <c r="D55" s="2"/>
      <c r="E55" s="2">
        <f>SUMIFS(Risiko!T27:T30,Risiko!Z27:Z30,VLOOKUP("Krankheit und Unfall",m_texte,v_sprachcode,FALSE))</f>
        <v>0</v>
      </c>
      <c r="G55" s="1" t="s">
        <v>74</v>
      </c>
      <c r="H55" s="2"/>
      <c r="I55" s="2"/>
      <c r="J55" s="2">
        <f>SUMIFS(Risiko!W27:W30,Risiko!Z27:Z30,VLOOKUP("Krankheit und Unfall",m_texte,v_sprachcode,FALSE))</f>
        <v>0</v>
      </c>
    </row>
    <row r="56" spans="2:10" x14ac:dyDescent="0.25">
      <c r="B56" s="20" t="s">
        <v>141</v>
      </c>
      <c r="C56" s="1"/>
      <c r="D56" s="2"/>
      <c r="E56" s="13">
        <f>SUM(E54:E55)</f>
        <v>0</v>
      </c>
      <c r="G56" s="20" t="s">
        <v>129</v>
      </c>
      <c r="H56" s="1"/>
      <c r="I56" s="2"/>
      <c r="J56" s="13">
        <f>SUM(J54:J55)</f>
        <v>0</v>
      </c>
    </row>
    <row r="58" spans="2:10" x14ac:dyDescent="0.25">
      <c r="B58" s="22" t="s">
        <v>77</v>
      </c>
      <c r="E58" s="22">
        <f>E46+MIN(E52,E56)</f>
        <v>0</v>
      </c>
      <c r="F58" s="38">
        <f>E58/24000</f>
        <v>0</v>
      </c>
    </row>
    <row r="59" spans="2:10" x14ac:dyDescent="0.25">
      <c r="B59" s="22" t="s">
        <v>78</v>
      </c>
      <c r="E59" s="22">
        <f>J46+MIN(J52,J56)</f>
        <v>0</v>
      </c>
      <c r="F59" s="38">
        <f>E59/300000</f>
        <v>0</v>
      </c>
      <c r="I59" s="40" t="s">
        <v>79</v>
      </c>
      <c r="J59" s="39" t="b">
        <f>(F58+F59)&gt;=1</f>
        <v>0</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38B03-568E-4C86-8156-50A29E0D99E4}">
  <sheetPr codeName="Tabelle9"/>
  <dimension ref="A1:K11"/>
  <sheetViews>
    <sheetView showGridLines="0" showRowColHeaders="0" workbookViewId="0"/>
  </sheetViews>
  <sheetFormatPr baseColWidth="10" defaultRowHeight="11.25" x14ac:dyDescent="0.2"/>
  <cols>
    <col min="1" max="1" width="2.5703125" style="59" customWidth="1"/>
    <col min="2" max="2" width="16" style="59" customWidth="1"/>
    <col min="3" max="3" width="83.28515625" style="59" customWidth="1"/>
    <col min="4" max="16384" width="11.42578125" style="59"/>
  </cols>
  <sheetData>
    <row r="1" spans="1:11" s="36" customFormat="1" ht="15" customHeight="1" x14ac:dyDescent="0.25"/>
    <row r="2" spans="1:11" s="36" customFormat="1" ht="15" customHeight="1" x14ac:dyDescent="0.25">
      <c r="B2" s="15" t="s">
        <v>178</v>
      </c>
      <c r="C2" s="15"/>
    </row>
    <row r="3" spans="1:11" s="36" customFormat="1" ht="15" customHeight="1" x14ac:dyDescent="0.25"/>
    <row r="4" spans="1:11" s="36" customFormat="1" ht="15" customHeight="1" x14ac:dyDescent="0.25">
      <c r="A4" s="4"/>
      <c r="B4" s="4" t="s">
        <v>83</v>
      </c>
      <c r="C4" s="4" t="s">
        <v>177</v>
      </c>
      <c r="D4" s="58"/>
      <c r="E4" s="58"/>
      <c r="F4" s="58"/>
      <c r="G4" s="58"/>
      <c r="H4" s="58"/>
      <c r="I4" s="58"/>
      <c r="J4" s="58"/>
      <c r="K4" s="57"/>
    </row>
    <row r="5" spans="1:11" x14ac:dyDescent="0.2">
      <c r="B5" s="60" t="s">
        <v>179</v>
      </c>
      <c r="C5" s="61" t="str">
        <f t="shared" ref="C5:C11" si="0">VLOOKUP(B5,m_texte,v_sprachcode,FALSE)</f>
        <v>Bspw. Lawis, Agricola, Gelan, Acorda etc.</v>
      </c>
    </row>
    <row r="6" spans="1:11" x14ac:dyDescent="0.2">
      <c r="B6" s="60" t="s">
        <v>180</v>
      </c>
      <c r="C6" s="61" t="str">
        <f t="shared" si="0"/>
        <v>Massgebend ist das Geltendmachen des Zweitverdienerabzuges in der Steuererklärung</v>
      </c>
    </row>
    <row r="7" spans="1:11" ht="45" x14ac:dyDescent="0.2">
      <c r="B7" s="60" t="s">
        <v>181</v>
      </c>
      <c r="C7" s="61" t="str">
        <f t="shared" si="0"/>
        <v xml:space="preserve">Massgebend ist das jährliche AHV-pflichtige Einkommen. Unabhängig, ob dieses vom Betrieb oder von einer externen Tätigkeit stammt. Bei mehreren Tätigkeiten werden die Einkommen zusammengezählt. Respektive:
Massgebend ist der AHV-pflichtige Lohn. Unabhängig, ob dieser vom Betrieb oder von einer externen Anstellung stammt. Bei mehreren Anstellungen werden die Löhne zusammengezählt. </v>
      </c>
    </row>
    <row r="8" spans="1:11" ht="45" x14ac:dyDescent="0.2">
      <c r="B8" s="60" t="s">
        <v>182</v>
      </c>
      <c r="C8" s="61" t="str">
        <f t="shared" si="0"/>
        <v>Es ist zwischen «reinen juristischen Personen» (Art. 3 Abs. 3 DZV) sowie «Familien-AGs und -GmbHs» (Art. 3 Abs. 2 DZV) zu unterscheiden. Es sind nur die reinen juristischen Personen von der Pflicht ausgeschlossen. Bei den Familien-AGs und -GmbHs sind natürliche Personen vorhanden, die bspw. auch die Altersgrenze oder die Ausbildungsanforderung erfüllen müssen und somit gilt hier  grundsätzlich auch die Versicherungspflicht.</v>
      </c>
    </row>
    <row r="9" spans="1:11" ht="78.75" x14ac:dyDescent="0.2">
      <c r="B9" s="60" t="s">
        <v>194</v>
      </c>
      <c r="C9" s="61" t="str">
        <f t="shared" si="0"/>
        <v xml:space="preserve">Eine Kollektivkrankentaggeldversicherung einer Anstellung ausserhalb des Landwirtschaftsbetriebes ist hier zu erfassen. Diese Versicherung deckt den Lohnausfall (in der Regel 80% des Lohnes, nach einer Wartefrist von 30 Tagen) bei krankheitsbedingter Arbeitsunfähigkeit. Sie ist in vielen Branchen  verbreiteter Standard, ist hingegen keine obligatorische Sozialversicherung und somit nicht bei jeder Anstellung vorhanden.
Dies im Gegensatz zur obligatorischen Unfallversicherung, die bei einer unfallbedingten Arbeitsunfähigkeit Taggeldleistungen nach einer Wartefrist von 2 Tagen erbringt. Eine obligatorische Unfallversicherung muss hier nicht erfasst werden, da der Taggeldschutz im Unfallfall gegenüber dem  Krankheitsfall besser ist.  </v>
      </c>
    </row>
    <row r="10" spans="1:11" ht="45" x14ac:dyDescent="0.2">
      <c r="B10" s="60" t="s">
        <v>423</v>
      </c>
      <c r="C10" s="61" t="str">
        <f t="shared" si="0"/>
        <v>Pensionskassenleistungen sind bei Anstellungen ausserhalb des Landwirtschaftsbetriebes mit Jahreslohnsummen von unter CHF 22'680 (gesetzliche Eintrittsschwelle BVG) verbreiteter Standard. Diese überobligatorischen Risikoleistungen sind auf dem Pensionskassenausweis, den die Pensionskasse jährlich zustellt, ersichtlich und hier zu erfassen. Hinweis: Rentenleistungen sind auf dem Pensionskassenausweis als Jahresrenten angegeben.</v>
      </c>
    </row>
    <row r="11" spans="1:11" ht="33.75" x14ac:dyDescent="0.2">
      <c r="B11" s="60" t="s">
        <v>424</v>
      </c>
      <c r="C11" s="61" t="str">
        <f t="shared" si="0"/>
        <v>Die auf dem Pensionskassenausweis dargestellte Kinder-IV-Rente resp. Waisen-Rente gelten pro Kind. Bei Eingabe dieser Rentenleistungen ist somit die Angabe "Anzahl rentenberechtigter Kinder" zwingend, damit diese Renten korrekt in den Berechnungen mitberücksichtigt werden können.</v>
      </c>
    </row>
  </sheetData>
  <phoneticPr fontId="12" type="noConversion"/>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C49C7-53B2-4A7A-803D-35B915B95DEF}">
  <sheetPr codeName="Tabelle7"/>
  <dimension ref="A1:E137"/>
  <sheetViews>
    <sheetView showGridLines="0" showRowColHeaders="0" workbookViewId="0">
      <pane ySplit="1" topLeftCell="A2" activePane="bottomLeft" state="frozen"/>
      <selection pane="bottomLeft" activeCell="A2" sqref="A2"/>
    </sheetView>
  </sheetViews>
  <sheetFormatPr baseColWidth="10" defaultRowHeight="13.5" x14ac:dyDescent="0.25"/>
  <cols>
    <col min="1" max="1" width="52.140625" style="21" customWidth="1"/>
    <col min="2" max="4" width="52.140625" style="1" customWidth="1"/>
    <col min="5" max="5" width="52.140625" style="21" customWidth="1"/>
    <col min="6" max="16384" width="11.42578125" style="21"/>
  </cols>
  <sheetData>
    <row r="1" spans="1:5" s="22" customFormat="1" x14ac:dyDescent="0.25">
      <c r="A1" s="22" t="s">
        <v>147</v>
      </c>
      <c r="B1" s="20" t="s">
        <v>148</v>
      </c>
      <c r="C1" s="20" t="s">
        <v>149</v>
      </c>
      <c r="D1" s="20" t="s">
        <v>150</v>
      </c>
      <c r="E1" s="22" t="s">
        <v>151</v>
      </c>
    </row>
    <row r="2" spans="1:5" x14ac:dyDescent="0.25">
      <c r="B2" s="63"/>
      <c r="C2" s="63"/>
      <c r="D2" s="63"/>
    </row>
    <row r="3" spans="1:5" x14ac:dyDescent="0.25">
      <c r="A3" s="21" t="s">
        <v>422</v>
      </c>
      <c r="B3" s="63" t="s">
        <v>393</v>
      </c>
      <c r="C3" s="63" t="s">
        <v>230</v>
      </c>
      <c r="D3" s="63" t="s">
        <v>449</v>
      </c>
    </row>
    <row r="4" spans="1:5" x14ac:dyDescent="0.25">
      <c r="A4" s="21" t="s">
        <v>229</v>
      </c>
      <c r="B4" s="63" t="s">
        <v>231</v>
      </c>
      <c r="C4" s="63" t="s">
        <v>427</v>
      </c>
      <c r="D4" s="63" t="s">
        <v>450</v>
      </c>
    </row>
    <row r="5" spans="1:5" x14ac:dyDescent="0.25">
      <c r="A5" s="21" t="s">
        <v>227</v>
      </c>
      <c r="B5" s="63" t="s">
        <v>227</v>
      </c>
      <c r="C5" s="63" t="s">
        <v>232</v>
      </c>
      <c r="D5" s="63" t="s">
        <v>451</v>
      </c>
    </row>
    <row r="6" spans="1:5" x14ac:dyDescent="0.25">
      <c r="A6" s="21" t="s">
        <v>226</v>
      </c>
      <c r="B6" s="63" t="s">
        <v>226</v>
      </c>
      <c r="C6" s="63" t="s">
        <v>233</v>
      </c>
      <c r="D6" s="63" t="s">
        <v>452</v>
      </c>
    </row>
    <row r="7" spans="1:5" x14ac:dyDescent="0.25">
      <c r="A7" s="21" t="s">
        <v>225</v>
      </c>
      <c r="B7" s="63" t="s">
        <v>225</v>
      </c>
      <c r="C7" s="63" t="s">
        <v>234</v>
      </c>
      <c r="D7" s="63" t="s">
        <v>235</v>
      </c>
    </row>
    <row r="8" spans="1:5" x14ac:dyDescent="0.25">
      <c r="A8" s="21" t="s">
        <v>224</v>
      </c>
      <c r="B8" s="63" t="s">
        <v>224</v>
      </c>
      <c r="C8" s="63" t="s">
        <v>428</v>
      </c>
      <c r="D8" s="63" t="s">
        <v>453</v>
      </c>
    </row>
    <row r="9" spans="1:5" ht="27" x14ac:dyDescent="0.25">
      <c r="A9" s="21" t="s">
        <v>223</v>
      </c>
      <c r="B9" s="63" t="s">
        <v>223</v>
      </c>
      <c r="C9" s="63" t="s">
        <v>236</v>
      </c>
      <c r="D9" s="63" t="s">
        <v>237</v>
      </c>
    </row>
    <row r="10" spans="1:5" x14ac:dyDescent="0.25">
      <c r="A10" s="21" t="s">
        <v>222</v>
      </c>
      <c r="B10" s="63" t="s">
        <v>222</v>
      </c>
      <c r="C10" s="63" t="s">
        <v>238</v>
      </c>
      <c r="D10" s="63" t="s">
        <v>454</v>
      </c>
    </row>
    <row r="11" spans="1:5" x14ac:dyDescent="0.25">
      <c r="A11" s="21" t="s">
        <v>221</v>
      </c>
      <c r="B11" s="63" t="s">
        <v>221</v>
      </c>
      <c r="C11" s="63" t="s">
        <v>239</v>
      </c>
      <c r="D11" s="63" t="s">
        <v>455</v>
      </c>
    </row>
    <row r="12" spans="1:5" x14ac:dyDescent="0.25">
      <c r="A12" s="21" t="s">
        <v>108</v>
      </c>
      <c r="B12" s="63" t="s">
        <v>108</v>
      </c>
      <c r="C12" s="63" t="s">
        <v>240</v>
      </c>
      <c r="D12" s="63" t="s">
        <v>456</v>
      </c>
    </row>
    <row r="13" spans="1:5" x14ac:dyDescent="0.25">
      <c r="A13" s="21" t="s">
        <v>133</v>
      </c>
      <c r="B13" s="63" t="s">
        <v>133</v>
      </c>
      <c r="C13" s="63" t="s">
        <v>241</v>
      </c>
      <c r="D13" s="63" t="s">
        <v>457</v>
      </c>
    </row>
    <row r="14" spans="1:5" x14ac:dyDescent="0.25">
      <c r="A14" s="21" t="s">
        <v>132</v>
      </c>
      <c r="B14" s="63" t="s">
        <v>132</v>
      </c>
      <c r="C14" s="63" t="s">
        <v>242</v>
      </c>
      <c r="D14" s="63" t="s">
        <v>458</v>
      </c>
    </row>
    <row r="15" spans="1:5" x14ac:dyDescent="0.25">
      <c r="A15" s="21" t="s">
        <v>114</v>
      </c>
      <c r="B15" s="63" t="s">
        <v>114</v>
      </c>
      <c r="C15" s="63" t="s">
        <v>243</v>
      </c>
      <c r="D15" s="63" t="s">
        <v>244</v>
      </c>
    </row>
    <row r="16" spans="1:5" x14ac:dyDescent="0.25">
      <c r="A16" s="21" t="s">
        <v>113</v>
      </c>
      <c r="B16" s="63" t="s">
        <v>113</v>
      </c>
      <c r="C16" s="63" t="s">
        <v>245</v>
      </c>
      <c r="D16" s="63" t="s">
        <v>246</v>
      </c>
    </row>
    <row r="17" spans="1:4" x14ac:dyDescent="0.25">
      <c r="A17" s="21" t="s">
        <v>100</v>
      </c>
      <c r="B17" s="63" t="s">
        <v>100</v>
      </c>
      <c r="C17" s="63" t="s">
        <v>247</v>
      </c>
      <c r="D17" s="63" t="s">
        <v>248</v>
      </c>
    </row>
    <row r="18" spans="1:4" x14ac:dyDescent="0.25">
      <c r="A18" s="21" t="s">
        <v>104</v>
      </c>
      <c r="B18" s="63" t="s">
        <v>104</v>
      </c>
      <c r="C18" s="63" t="s">
        <v>249</v>
      </c>
      <c r="D18" s="63" t="s">
        <v>250</v>
      </c>
    </row>
    <row r="19" spans="1:4" x14ac:dyDescent="0.25">
      <c r="A19" s="21" t="s">
        <v>103</v>
      </c>
      <c r="B19" s="63" t="s">
        <v>103</v>
      </c>
      <c r="C19" s="63" t="s">
        <v>251</v>
      </c>
      <c r="D19" s="63" t="s">
        <v>252</v>
      </c>
    </row>
    <row r="20" spans="1:4" x14ac:dyDescent="0.25">
      <c r="A20" s="21" t="s">
        <v>102</v>
      </c>
      <c r="B20" s="63" t="s">
        <v>102</v>
      </c>
      <c r="C20" s="63" t="s">
        <v>253</v>
      </c>
      <c r="D20" s="63" t="s">
        <v>459</v>
      </c>
    </row>
    <row r="21" spans="1:4" x14ac:dyDescent="0.25">
      <c r="A21" s="21" t="s">
        <v>99</v>
      </c>
      <c r="B21" s="63" t="s">
        <v>99</v>
      </c>
      <c r="C21" s="63" t="s">
        <v>254</v>
      </c>
      <c r="D21" s="63" t="s">
        <v>460</v>
      </c>
    </row>
    <row r="22" spans="1:4" x14ac:dyDescent="0.25">
      <c r="A22" s="21" t="s">
        <v>98</v>
      </c>
      <c r="B22" s="63" t="s">
        <v>98</v>
      </c>
      <c r="C22" s="63" t="s">
        <v>255</v>
      </c>
      <c r="D22" s="63" t="s">
        <v>256</v>
      </c>
    </row>
    <row r="23" spans="1:4" x14ac:dyDescent="0.25">
      <c r="A23" s="21" t="s">
        <v>101</v>
      </c>
      <c r="B23" s="63" t="s">
        <v>101</v>
      </c>
      <c r="C23" s="63" t="s">
        <v>101</v>
      </c>
      <c r="D23" s="63" t="s">
        <v>257</v>
      </c>
    </row>
    <row r="24" spans="1:4" x14ac:dyDescent="0.25">
      <c r="A24" s="21" t="s">
        <v>54</v>
      </c>
      <c r="B24" s="63" t="s">
        <v>54</v>
      </c>
      <c r="C24" s="63" t="s">
        <v>258</v>
      </c>
      <c r="D24" s="63" t="s">
        <v>259</v>
      </c>
    </row>
    <row r="25" spans="1:4" ht="27" x14ac:dyDescent="0.25">
      <c r="A25" s="21" t="s">
        <v>96</v>
      </c>
      <c r="B25" s="63" t="s">
        <v>394</v>
      </c>
      <c r="C25" s="63" t="s">
        <v>260</v>
      </c>
      <c r="D25" s="63" t="s">
        <v>261</v>
      </c>
    </row>
    <row r="26" spans="1:4" x14ac:dyDescent="0.25">
      <c r="A26" s="21" t="s">
        <v>94</v>
      </c>
      <c r="B26" s="63" t="s">
        <v>262</v>
      </c>
      <c r="C26" s="63" t="s">
        <v>263</v>
      </c>
      <c r="D26" s="63" t="s">
        <v>461</v>
      </c>
    </row>
    <row r="27" spans="1:4" x14ac:dyDescent="0.25">
      <c r="A27" s="21" t="s">
        <v>116</v>
      </c>
      <c r="B27" s="63" t="s">
        <v>264</v>
      </c>
      <c r="C27" s="63" t="s">
        <v>265</v>
      </c>
      <c r="D27" s="63" t="s">
        <v>462</v>
      </c>
    </row>
    <row r="28" spans="1:4" x14ac:dyDescent="0.25">
      <c r="A28" s="21" t="s">
        <v>89</v>
      </c>
      <c r="B28" s="63" t="s">
        <v>266</v>
      </c>
      <c r="C28" s="63" t="s">
        <v>267</v>
      </c>
      <c r="D28" s="63" t="s">
        <v>463</v>
      </c>
    </row>
    <row r="29" spans="1:4" ht="27" x14ac:dyDescent="0.25">
      <c r="A29" s="21" t="s">
        <v>90</v>
      </c>
      <c r="B29" s="63" t="s">
        <v>395</v>
      </c>
      <c r="C29" s="63" t="s">
        <v>429</v>
      </c>
      <c r="D29" s="63" t="s">
        <v>464</v>
      </c>
    </row>
    <row r="30" spans="1:4" x14ac:dyDescent="0.25">
      <c r="A30" s="21" t="s">
        <v>142</v>
      </c>
      <c r="B30" s="63" t="s">
        <v>142</v>
      </c>
      <c r="C30" s="63" t="s">
        <v>268</v>
      </c>
      <c r="D30" s="63" t="s">
        <v>269</v>
      </c>
    </row>
    <row r="31" spans="1:4" x14ac:dyDescent="0.25">
      <c r="A31" s="21" t="s">
        <v>86</v>
      </c>
      <c r="B31" s="63" t="s">
        <v>86</v>
      </c>
      <c r="C31" s="63" t="s">
        <v>270</v>
      </c>
      <c r="D31" s="63" t="s">
        <v>271</v>
      </c>
    </row>
    <row r="32" spans="1:4" x14ac:dyDescent="0.25">
      <c r="A32" s="21" t="s">
        <v>85</v>
      </c>
      <c r="B32" s="63" t="s">
        <v>85</v>
      </c>
      <c r="C32" s="63" t="s">
        <v>85</v>
      </c>
      <c r="D32" s="63" t="s">
        <v>272</v>
      </c>
    </row>
    <row r="33" spans="1:4" x14ac:dyDescent="0.25">
      <c r="A33" s="21" t="s">
        <v>84</v>
      </c>
      <c r="B33" s="63" t="s">
        <v>84</v>
      </c>
      <c r="C33" s="63" t="s">
        <v>273</v>
      </c>
      <c r="D33" s="63" t="s">
        <v>274</v>
      </c>
    </row>
    <row r="34" spans="1:4" x14ac:dyDescent="0.25">
      <c r="A34" s="21" t="s">
        <v>83</v>
      </c>
      <c r="B34" s="63" t="s">
        <v>83</v>
      </c>
      <c r="C34" s="63" t="s">
        <v>275</v>
      </c>
      <c r="D34" s="63" t="s">
        <v>276</v>
      </c>
    </row>
    <row r="35" spans="1:4" x14ac:dyDescent="0.25">
      <c r="A35" s="21" t="s">
        <v>82</v>
      </c>
      <c r="B35" s="63" t="s">
        <v>82</v>
      </c>
      <c r="C35" s="63" t="s">
        <v>277</v>
      </c>
      <c r="D35" s="63" t="s">
        <v>278</v>
      </c>
    </row>
    <row r="36" spans="1:4" x14ac:dyDescent="0.25">
      <c r="A36" s="21" t="s">
        <v>115</v>
      </c>
      <c r="B36" s="63" t="s">
        <v>115</v>
      </c>
      <c r="C36" s="63" t="s">
        <v>279</v>
      </c>
      <c r="D36" s="63" t="s">
        <v>280</v>
      </c>
    </row>
    <row r="37" spans="1:4" x14ac:dyDescent="0.25">
      <c r="A37" s="21" t="s">
        <v>87</v>
      </c>
      <c r="B37" s="63" t="s">
        <v>87</v>
      </c>
      <c r="C37" s="63" t="s">
        <v>281</v>
      </c>
      <c r="D37" s="63" t="s">
        <v>282</v>
      </c>
    </row>
    <row r="38" spans="1:4" x14ac:dyDescent="0.25">
      <c r="A38" s="21" t="s">
        <v>206</v>
      </c>
      <c r="B38" s="63" t="s">
        <v>206</v>
      </c>
      <c r="C38" s="63" t="s">
        <v>206</v>
      </c>
      <c r="D38" s="63" t="s">
        <v>283</v>
      </c>
    </row>
    <row r="39" spans="1:4" x14ac:dyDescent="0.25">
      <c r="A39" s="21" t="s">
        <v>207</v>
      </c>
      <c r="B39" s="63" t="s">
        <v>207</v>
      </c>
      <c r="C39" s="63" t="s">
        <v>284</v>
      </c>
      <c r="D39" s="63" t="s">
        <v>285</v>
      </c>
    </row>
    <row r="40" spans="1:4" ht="27" x14ac:dyDescent="0.25">
      <c r="A40" s="21" t="s">
        <v>81</v>
      </c>
      <c r="B40" s="63" t="s">
        <v>286</v>
      </c>
      <c r="C40" s="63" t="s">
        <v>287</v>
      </c>
      <c r="D40" s="63" t="s">
        <v>465</v>
      </c>
    </row>
    <row r="41" spans="1:4" x14ac:dyDescent="0.25">
      <c r="A41" s="21" t="s">
        <v>80</v>
      </c>
      <c r="B41" s="63" t="s">
        <v>80</v>
      </c>
      <c r="C41" s="63" t="s">
        <v>288</v>
      </c>
      <c r="D41" s="63" t="s">
        <v>466</v>
      </c>
    </row>
    <row r="42" spans="1:4" x14ac:dyDescent="0.25">
      <c r="A42" s="21" t="s">
        <v>127</v>
      </c>
      <c r="B42" s="63" t="s">
        <v>127</v>
      </c>
      <c r="C42" s="63" t="s">
        <v>430</v>
      </c>
      <c r="D42" s="63" t="s">
        <v>289</v>
      </c>
    </row>
    <row r="43" spans="1:4" x14ac:dyDescent="0.25">
      <c r="A43" s="21" t="s">
        <v>126</v>
      </c>
      <c r="B43" s="63" t="s">
        <v>126</v>
      </c>
      <c r="C43" s="63" t="s">
        <v>431</v>
      </c>
      <c r="D43" s="63" t="s">
        <v>290</v>
      </c>
    </row>
    <row r="44" spans="1:4" x14ac:dyDescent="0.25">
      <c r="A44" s="21" t="s">
        <v>55</v>
      </c>
      <c r="B44" s="63" t="s">
        <v>55</v>
      </c>
      <c r="C44" s="63" t="s">
        <v>291</v>
      </c>
      <c r="D44" s="63" t="s">
        <v>292</v>
      </c>
    </row>
    <row r="45" spans="1:4" x14ac:dyDescent="0.25">
      <c r="A45" s="21" t="s">
        <v>111</v>
      </c>
      <c r="B45" s="63" t="s">
        <v>111</v>
      </c>
      <c r="C45" s="63" t="s">
        <v>293</v>
      </c>
      <c r="D45" s="63" t="s">
        <v>294</v>
      </c>
    </row>
    <row r="46" spans="1:4" x14ac:dyDescent="0.25">
      <c r="A46" s="21" t="s">
        <v>50</v>
      </c>
      <c r="B46" s="63" t="s">
        <v>50</v>
      </c>
      <c r="C46" s="63" t="s">
        <v>295</v>
      </c>
      <c r="D46" s="63" t="s">
        <v>296</v>
      </c>
    </row>
    <row r="47" spans="1:4" x14ac:dyDescent="0.25">
      <c r="A47" s="21" t="s">
        <v>48</v>
      </c>
      <c r="B47" s="63" t="s">
        <v>48</v>
      </c>
      <c r="C47" s="63" t="s">
        <v>297</v>
      </c>
      <c r="D47" s="63" t="s">
        <v>298</v>
      </c>
    </row>
    <row r="48" spans="1:4" x14ac:dyDescent="0.25">
      <c r="A48" s="21" t="s">
        <v>49</v>
      </c>
      <c r="B48" s="63" t="s">
        <v>49</v>
      </c>
      <c r="C48" s="63" t="s">
        <v>299</v>
      </c>
      <c r="D48" s="63" t="s">
        <v>300</v>
      </c>
    </row>
    <row r="49" spans="1:4" x14ac:dyDescent="0.25">
      <c r="A49" s="21" t="s">
        <v>47</v>
      </c>
      <c r="B49" s="63" t="s">
        <v>47</v>
      </c>
      <c r="C49" s="63" t="s">
        <v>301</v>
      </c>
      <c r="D49" s="63" t="s">
        <v>467</v>
      </c>
    </row>
    <row r="50" spans="1:4" x14ac:dyDescent="0.25">
      <c r="A50" s="21" t="s">
        <v>46</v>
      </c>
      <c r="B50" s="63" t="s">
        <v>46</v>
      </c>
      <c r="C50" s="63" t="s">
        <v>302</v>
      </c>
      <c r="D50" s="63" t="s">
        <v>303</v>
      </c>
    </row>
    <row r="51" spans="1:4" x14ac:dyDescent="0.25">
      <c r="A51" s="21" t="s">
        <v>45</v>
      </c>
      <c r="B51" s="63" t="s">
        <v>45</v>
      </c>
      <c r="C51" s="63" t="s">
        <v>304</v>
      </c>
      <c r="D51" s="63" t="s">
        <v>468</v>
      </c>
    </row>
    <row r="52" spans="1:4" x14ac:dyDescent="0.25">
      <c r="A52" s="21" t="s">
        <v>58</v>
      </c>
      <c r="B52" s="63" t="s">
        <v>58</v>
      </c>
      <c r="C52" s="63" t="s">
        <v>305</v>
      </c>
      <c r="D52" s="63" t="s">
        <v>469</v>
      </c>
    </row>
    <row r="53" spans="1:4" ht="27" x14ac:dyDescent="0.25">
      <c r="A53" s="21" t="s">
        <v>195</v>
      </c>
      <c r="B53" s="63" t="s">
        <v>195</v>
      </c>
      <c r="C53" s="63" t="s">
        <v>432</v>
      </c>
      <c r="D53" s="63" t="s">
        <v>470</v>
      </c>
    </row>
    <row r="54" spans="1:4" x14ac:dyDescent="0.25">
      <c r="A54" s="21" t="s">
        <v>193</v>
      </c>
      <c r="B54" s="63" t="s">
        <v>193</v>
      </c>
      <c r="C54" s="63" t="s">
        <v>306</v>
      </c>
      <c r="D54" s="63" t="s">
        <v>471</v>
      </c>
    </row>
    <row r="55" spans="1:4" x14ac:dyDescent="0.25">
      <c r="A55" s="21" t="s">
        <v>21</v>
      </c>
      <c r="B55" s="63" t="s">
        <v>21</v>
      </c>
      <c r="C55" s="63" t="s">
        <v>307</v>
      </c>
      <c r="D55" s="63" t="s">
        <v>472</v>
      </c>
    </row>
    <row r="56" spans="1:4" x14ac:dyDescent="0.25">
      <c r="A56" s="21" t="s">
        <v>37</v>
      </c>
      <c r="B56" s="63" t="s">
        <v>37</v>
      </c>
      <c r="C56" s="63" t="s">
        <v>308</v>
      </c>
      <c r="D56" s="63" t="s">
        <v>309</v>
      </c>
    </row>
    <row r="57" spans="1:4" x14ac:dyDescent="0.25">
      <c r="A57" s="21" t="s">
        <v>36</v>
      </c>
      <c r="B57" s="63" t="s">
        <v>36</v>
      </c>
      <c r="C57" s="63" t="s">
        <v>310</v>
      </c>
      <c r="D57" s="63" t="s">
        <v>311</v>
      </c>
    </row>
    <row r="58" spans="1:4" x14ac:dyDescent="0.25">
      <c r="A58" s="21" t="s">
        <v>137</v>
      </c>
      <c r="B58" s="63" t="s">
        <v>137</v>
      </c>
      <c r="C58" s="63" t="s">
        <v>312</v>
      </c>
      <c r="D58" s="63" t="s">
        <v>313</v>
      </c>
    </row>
    <row r="59" spans="1:4" x14ac:dyDescent="0.25">
      <c r="A59" s="21" t="s">
        <v>31</v>
      </c>
      <c r="B59" s="63" t="s">
        <v>31</v>
      </c>
      <c r="C59" s="63" t="s">
        <v>314</v>
      </c>
      <c r="D59" s="63" t="s">
        <v>315</v>
      </c>
    </row>
    <row r="60" spans="1:4" x14ac:dyDescent="0.25">
      <c r="A60" s="21" t="s">
        <v>30</v>
      </c>
      <c r="B60" s="63" t="s">
        <v>30</v>
      </c>
      <c r="C60" s="63" t="s">
        <v>316</v>
      </c>
      <c r="D60" s="63" t="s">
        <v>317</v>
      </c>
    </row>
    <row r="61" spans="1:4" x14ac:dyDescent="0.25">
      <c r="A61" s="21" t="s">
        <v>52</v>
      </c>
      <c r="B61" s="63" t="s">
        <v>52</v>
      </c>
      <c r="C61" s="63" t="s">
        <v>433</v>
      </c>
      <c r="D61" s="63" t="s">
        <v>473</v>
      </c>
    </row>
    <row r="62" spans="1:4" x14ac:dyDescent="0.25">
      <c r="A62" s="21" t="s">
        <v>56</v>
      </c>
      <c r="B62" s="63" t="s">
        <v>56</v>
      </c>
      <c r="C62" s="63" t="s">
        <v>318</v>
      </c>
      <c r="D62" s="63" t="s">
        <v>319</v>
      </c>
    </row>
    <row r="63" spans="1:4" x14ac:dyDescent="0.25">
      <c r="A63" s="21" t="s">
        <v>35</v>
      </c>
      <c r="B63" s="63" t="s">
        <v>35</v>
      </c>
      <c r="C63" s="63" t="s">
        <v>320</v>
      </c>
      <c r="D63" s="63" t="s">
        <v>321</v>
      </c>
    </row>
    <row r="64" spans="1:4" x14ac:dyDescent="0.25">
      <c r="A64" s="21" t="s">
        <v>44</v>
      </c>
      <c r="B64" s="63" t="s">
        <v>44</v>
      </c>
      <c r="C64" s="63" t="s">
        <v>322</v>
      </c>
      <c r="D64" s="63" t="s">
        <v>323</v>
      </c>
    </row>
    <row r="65" spans="1:4" x14ac:dyDescent="0.25">
      <c r="A65" s="21" t="s">
        <v>32</v>
      </c>
      <c r="B65" s="63" t="s">
        <v>32</v>
      </c>
      <c r="C65" s="63" t="s">
        <v>324</v>
      </c>
      <c r="D65" s="63" t="s">
        <v>325</v>
      </c>
    </row>
    <row r="66" spans="1:4" x14ac:dyDescent="0.25">
      <c r="A66" s="21" t="s">
        <v>33</v>
      </c>
      <c r="B66" s="63" t="s">
        <v>33</v>
      </c>
      <c r="C66" s="63" t="s">
        <v>326</v>
      </c>
      <c r="D66" s="63" t="s">
        <v>327</v>
      </c>
    </row>
    <row r="67" spans="1:4" x14ac:dyDescent="0.25">
      <c r="A67" s="21" t="s">
        <v>134</v>
      </c>
      <c r="B67" s="63" t="s">
        <v>134</v>
      </c>
      <c r="C67" s="63" t="s">
        <v>328</v>
      </c>
      <c r="D67" s="63" t="s">
        <v>474</v>
      </c>
    </row>
    <row r="68" spans="1:4" x14ac:dyDescent="0.25">
      <c r="A68" s="21" t="s">
        <v>110</v>
      </c>
      <c r="B68" s="63" t="s">
        <v>110</v>
      </c>
      <c r="C68" s="63" t="s">
        <v>329</v>
      </c>
      <c r="D68" s="63" t="s">
        <v>330</v>
      </c>
    </row>
    <row r="69" spans="1:4" x14ac:dyDescent="0.25">
      <c r="A69" s="21" t="s">
        <v>118</v>
      </c>
      <c r="B69" s="63" t="s">
        <v>118</v>
      </c>
      <c r="C69" s="63" t="s">
        <v>331</v>
      </c>
      <c r="D69" s="63" t="s">
        <v>332</v>
      </c>
    </row>
    <row r="70" spans="1:4" x14ac:dyDescent="0.25">
      <c r="A70" s="21" t="s">
        <v>105</v>
      </c>
      <c r="B70" s="63" t="s">
        <v>105</v>
      </c>
      <c r="C70" s="63" t="s">
        <v>333</v>
      </c>
      <c r="D70" s="63" t="s">
        <v>334</v>
      </c>
    </row>
    <row r="71" spans="1:4" x14ac:dyDescent="0.25">
      <c r="A71" s="21" t="s">
        <v>176</v>
      </c>
      <c r="B71" s="63" t="s">
        <v>176</v>
      </c>
      <c r="C71" s="63" t="s">
        <v>335</v>
      </c>
      <c r="D71" s="63" t="s">
        <v>336</v>
      </c>
    </row>
    <row r="72" spans="1:4" ht="27" x14ac:dyDescent="0.25">
      <c r="A72" s="21" t="s">
        <v>0</v>
      </c>
      <c r="B72" s="63" t="s">
        <v>337</v>
      </c>
      <c r="C72" s="63" t="s">
        <v>338</v>
      </c>
      <c r="D72" s="63" t="s">
        <v>475</v>
      </c>
    </row>
    <row r="73" spans="1:4" ht="40.5" x14ac:dyDescent="0.25">
      <c r="A73" s="21" t="s">
        <v>156</v>
      </c>
      <c r="B73" s="63" t="s">
        <v>169</v>
      </c>
      <c r="C73" s="63" t="s">
        <v>339</v>
      </c>
      <c r="D73" s="63" t="s">
        <v>476</v>
      </c>
    </row>
    <row r="74" spans="1:4" ht="54" x14ac:dyDescent="0.25">
      <c r="A74" s="21" t="s">
        <v>158</v>
      </c>
      <c r="B74" s="63" t="s">
        <v>157</v>
      </c>
      <c r="C74" s="63" t="s">
        <v>340</v>
      </c>
      <c r="D74" s="63" t="s">
        <v>477</v>
      </c>
    </row>
    <row r="75" spans="1:4" ht="40.5" x14ac:dyDescent="0.25">
      <c r="A75" s="21" t="s">
        <v>159</v>
      </c>
      <c r="B75" s="63" t="s">
        <v>5</v>
      </c>
      <c r="C75" s="63" t="s">
        <v>434</v>
      </c>
      <c r="D75" s="63" t="s">
        <v>478</v>
      </c>
    </row>
    <row r="76" spans="1:4" x14ac:dyDescent="0.25">
      <c r="A76" s="21" t="s">
        <v>160</v>
      </c>
      <c r="B76" s="63" t="s">
        <v>106</v>
      </c>
      <c r="C76" s="63" t="s">
        <v>435</v>
      </c>
      <c r="D76" s="63" t="s">
        <v>341</v>
      </c>
    </row>
    <row r="77" spans="1:4" ht="27" x14ac:dyDescent="0.25">
      <c r="A77" s="21" t="s">
        <v>161</v>
      </c>
      <c r="B77" s="63" t="s">
        <v>170</v>
      </c>
      <c r="C77" s="63" t="s">
        <v>342</v>
      </c>
      <c r="D77" s="63" t="s">
        <v>343</v>
      </c>
    </row>
    <row r="78" spans="1:4" ht="40.5" x14ac:dyDescent="0.25">
      <c r="A78" s="21" t="s">
        <v>162</v>
      </c>
      <c r="B78" s="63" t="s">
        <v>107</v>
      </c>
      <c r="C78" s="63" t="s">
        <v>344</v>
      </c>
      <c r="D78" s="63" t="s">
        <v>479</v>
      </c>
    </row>
    <row r="79" spans="1:4" ht="27" x14ac:dyDescent="0.25">
      <c r="A79" s="21" t="s">
        <v>163</v>
      </c>
      <c r="B79" s="63" t="s">
        <v>28</v>
      </c>
      <c r="C79" s="63" t="s">
        <v>345</v>
      </c>
      <c r="D79" s="63" t="s">
        <v>480</v>
      </c>
    </row>
    <row r="80" spans="1:4" ht="40.5" x14ac:dyDescent="0.25">
      <c r="A80" s="21" t="s">
        <v>164</v>
      </c>
      <c r="B80" s="63" t="s">
        <v>171</v>
      </c>
      <c r="C80" s="63" t="s">
        <v>436</v>
      </c>
      <c r="D80" s="63" t="s">
        <v>481</v>
      </c>
    </row>
    <row r="81" spans="1:4" ht="27" x14ac:dyDescent="0.25">
      <c r="A81" s="21" t="s">
        <v>165</v>
      </c>
      <c r="B81" s="63" t="s">
        <v>172</v>
      </c>
      <c r="C81" s="63" t="s">
        <v>346</v>
      </c>
      <c r="D81" s="63" t="s">
        <v>482</v>
      </c>
    </row>
    <row r="82" spans="1:4" ht="27" x14ac:dyDescent="0.25">
      <c r="A82" s="21" t="s">
        <v>166</v>
      </c>
      <c r="B82" s="63" t="s">
        <v>29</v>
      </c>
      <c r="C82" s="63" t="s">
        <v>437</v>
      </c>
      <c r="D82" s="63" t="s">
        <v>483</v>
      </c>
    </row>
    <row r="83" spans="1:4" x14ac:dyDescent="0.25">
      <c r="A83" s="21" t="s">
        <v>173</v>
      </c>
      <c r="B83" s="63" t="s">
        <v>173</v>
      </c>
      <c r="C83" s="63" t="s">
        <v>347</v>
      </c>
      <c r="D83" s="63" t="s">
        <v>484</v>
      </c>
    </row>
    <row r="84" spans="1:4" ht="27" x14ac:dyDescent="0.25">
      <c r="A84" s="21" t="s">
        <v>167</v>
      </c>
      <c r="B84" s="63" t="s">
        <v>174</v>
      </c>
      <c r="C84" s="63" t="s">
        <v>348</v>
      </c>
      <c r="D84" s="63" t="s">
        <v>485</v>
      </c>
    </row>
    <row r="85" spans="1:4" ht="27" x14ac:dyDescent="0.25">
      <c r="A85" s="21" t="s">
        <v>168</v>
      </c>
      <c r="B85" s="63" t="s">
        <v>175</v>
      </c>
      <c r="C85" s="63" t="s">
        <v>349</v>
      </c>
      <c r="D85" s="63" t="s">
        <v>350</v>
      </c>
    </row>
    <row r="86" spans="1:4" x14ac:dyDescent="0.25">
      <c r="A86" s="21" t="s">
        <v>14</v>
      </c>
      <c r="B86" s="1" t="s">
        <v>14</v>
      </c>
      <c r="C86" s="1" t="s">
        <v>351</v>
      </c>
      <c r="D86" s="1" t="s">
        <v>352</v>
      </c>
    </row>
    <row r="87" spans="1:4" x14ac:dyDescent="0.25">
      <c r="A87" s="21" t="s">
        <v>12</v>
      </c>
      <c r="B87" s="1" t="s">
        <v>12</v>
      </c>
      <c r="C87" s="1" t="s">
        <v>353</v>
      </c>
      <c r="D87" s="1" t="s">
        <v>354</v>
      </c>
    </row>
    <row r="88" spans="1:4" x14ac:dyDescent="0.25">
      <c r="A88" s="21" t="s">
        <v>13</v>
      </c>
      <c r="B88" s="1" t="s">
        <v>13</v>
      </c>
      <c r="C88" s="1" t="s">
        <v>355</v>
      </c>
      <c r="D88" s="1" t="s">
        <v>356</v>
      </c>
    </row>
    <row r="89" spans="1:4" x14ac:dyDescent="0.25">
      <c r="A89" s="21" t="s">
        <v>179</v>
      </c>
      <c r="B89" s="63" t="s">
        <v>519</v>
      </c>
      <c r="C89" s="63" t="s">
        <v>438</v>
      </c>
      <c r="D89" s="63" t="s">
        <v>486</v>
      </c>
    </row>
    <row r="90" spans="1:4" ht="27" x14ac:dyDescent="0.25">
      <c r="A90" s="21" t="s">
        <v>180</v>
      </c>
      <c r="B90" s="63" t="s">
        <v>396</v>
      </c>
      <c r="C90" s="63" t="s">
        <v>357</v>
      </c>
      <c r="D90" s="63" t="s">
        <v>487</v>
      </c>
    </row>
    <row r="91" spans="1:4" ht="94.5" x14ac:dyDescent="0.25">
      <c r="A91" s="21" t="s">
        <v>181</v>
      </c>
      <c r="B91" s="63" t="s">
        <v>358</v>
      </c>
      <c r="C91" s="63" t="s">
        <v>359</v>
      </c>
      <c r="D91" s="63" t="s">
        <v>488</v>
      </c>
    </row>
    <row r="92" spans="1:4" ht="108" x14ac:dyDescent="0.25">
      <c r="A92" s="21" t="s">
        <v>182</v>
      </c>
      <c r="B92" s="63" t="s">
        <v>397</v>
      </c>
      <c r="C92" s="63" t="s">
        <v>360</v>
      </c>
      <c r="D92" s="63" t="s">
        <v>489</v>
      </c>
    </row>
    <row r="93" spans="1:4" x14ac:dyDescent="0.25">
      <c r="A93" s="21" t="s">
        <v>51</v>
      </c>
      <c r="B93" s="63" t="s">
        <v>51</v>
      </c>
      <c r="C93" s="63" t="s">
        <v>361</v>
      </c>
      <c r="D93" s="63" t="s">
        <v>490</v>
      </c>
    </row>
    <row r="94" spans="1:4" ht="54" x14ac:dyDescent="0.25">
      <c r="A94" s="21" t="s">
        <v>183</v>
      </c>
      <c r="B94" s="63" t="s">
        <v>135</v>
      </c>
      <c r="C94" s="63" t="s">
        <v>439</v>
      </c>
      <c r="D94" s="63" t="s">
        <v>491</v>
      </c>
    </row>
    <row r="95" spans="1:4" ht="27" x14ac:dyDescent="0.25">
      <c r="A95" s="21" t="s">
        <v>184</v>
      </c>
      <c r="B95" s="63" t="s">
        <v>16</v>
      </c>
      <c r="C95" s="63" t="s">
        <v>362</v>
      </c>
      <c r="D95" s="63" t="s">
        <v>492</v>
      </c>
    </row>
    <row r="96" spans="1:4" ht="40.5" x14ac:dyDescent="0.25">
      <c r="A96" s="21" t="s">
        <v>185</v>
      </c>
      <c r="B96" s="63" t="s">
        <v>15</v>
      </c>
      <c r="C96" s="63" t="s">
        <v>363</v>
      </c>
      <c r="D96" s="63" t="s">
        <v>493</v>
      </c>
    </row>
    <row r="97" spans="1:4" ht="27" x14ac:dyDescent="0.25">
      <c r="A97" s="21" t="s">
        <v>186</v>
      </c>
      <c r="B97" s="63" t="s">
        <v>364</v>
      </c>
      <c r="C97" s="63" t="s">
        <v>365</v>
      </c>
      <c r="D97" s="63" t="s">
        <v>494</v>
      </c>
    </row>
    <row r="98" spans="1:4" ht="27" x14ac:dyDescent="0.25">
      <c r="A98" s="21" t="s">
        <v>187</v>
      </c>
      <c r="B98" s="63" t="s">
        <v>117</v>
      </c>
      <c r="C98" s="63" t="s">
        <v>366</v>
      </c>
      <c r="D98" s="63" t="s">
        <v>495</v>
      </c>
    </row>
    <row r="99" spans="1:4" ht="27" x14ac:dyDescent="0.25">
      <c r="A99" s="21" t="s">
        <v>188</v>
      </c>
      <c r="B99" s="63" t="s">
        <v>109</v>
      </c>
      <c r="C99" s="63" t="s">
        <v>367</v>
      </c>
      <c r="D99" s="63" t="s">
        <v>496</v>
      </c>
    </row>
    <row r="100" spans="1:4" ht="40.5" x14ac:dyDescent="0.25">
      <c r="A100" s="21" t="s">
        <v>191</v>
      </c>
      <c r="B100" s="63" t="s">
        <v>189</v>
      </c>
      <c r="C100" s="63" t="s">
        <v>368</v>
      </c>
      <c r="D100" s="63" t="s">
        <v>497</v>
      </c>
    </row>
    <row r="101" spans="1:4" ht="40.5" x14ac:dyDescent="0.25">
      <c r="A101" s="21" t="s">
        <v>192</v>
      </c>
      <c r="B101" s="63" t="s">
        <v>190</v>
      </c>
      <c r="C101" s="63" t="s">
        <v>369</v>
      </c>
      <c r="D101" s="63" t="s">
        <v>498</v>
      </c>
    </row>
    <row r="102" spans="1:4" ht="189" x14ac:dyDescent="0.25">
      <c r="A102" s="21" t="s">
        <v>194</v>
      </c>
      <c r="B102" s="63" t="s">
        <v>370</v>
      </c>
      <c r="C102" s="63" t="s">
        <v>440</v>
      </c>
      <c r="D102" s="63" t="s">
        <v>499</v>
      </c>
    </row>
    <row r="103" spans="1:4" ht="40.5" x14ac:dyDescent="0.25">
      <c r="A103" s="21" t="s">
        <v>196</v>
      </c>
      <c r="B103" s="63" t="s">
        <v>136</v>
      </c>
      <c r="C103" s="63" t="s">
        <v>441</v>
      </c>
      <c r="D103" s="63" t="s">
        <v>500</v>
      </c>
    </row>
    <row r="104" spans="1:4" ht="27" x14ac:dyDescent="0.25">
      <c r="A104" s="21" t="s">
        <v>197</v>
      </c>
      <c r="B104" s="63" t="s">
        <v>371</v>
      </c>
      <c r="C104" s="63" t="s">
        <v>372</v>
      </c>
      <c r="D104" s="63" t="s">
        <v>373</v>
      </c>
    </row>
    <row r="105" spans="1:4" ht="40.5" x14ac:dyDescent="0.25">
      <c r="A105" s="21" t="s">
        <v>198</v>
      </c>
      <c r="B105" s="63" t="s">
        <v>22</v>
      </c>
      <c r="C105" s="63" t="s">
        <v>442</v>
      </c>
      <c r="D105" s="63" t="s">
        <v>501</v>
      </c>
    </row>
    <row r="106" spans="1:4" ht="27" x14ac:dyDescent="0.25">
      <c r="A106" s="21" t="s">
        <v>199</v>
      </c>
      <c r="B106" s="63" t="s">
        <v>374</v>
      </c>
      <c r="C106" s="63" t="s">
        <v>443</v>
      </c>
      <c r="D106" s="63" t="s">
        <v>502</v>
      </c>
    </row>
    <row r="107" spans="1:4" ht="27" x14ac:dyDescent="0.25">
      <c r="A107" s="21" t="s">
        <v>200</v>
      </c>
      <c r="B107" s="63" t="s">
        <v>53</v>
      </c>
      <c r="C107" s="63" t="s">
        <v>375</v>
      </c>
      <c r="D107" s="63" t="s">
        <v>503</v>
      </c>
    </row>
    <row r="108" spans="1:4" ht="40.5" x14ac:dyDescent="0.25">
      <c r="A108" s="21" t="s">
        <v>201</v>
      </c>
      <c r="B108" s="63" t="s">
        <v>203</v>
      </c>
      <c r="C108" s="63" t="s">
        <v>376</v>
      </c>
      <c r="D108" s="63" t="s">
        <v>504</v>
      </c>
    </row>
    <row r="109" spans="1:4" ht="27" x14ac:dyDescent="0.25">
      <c r="A109" s="21" t="s">
        <v>202</v>
      </c>
      <c r="B109" s="63" t="s">
        <v>204</v>
      </c>
      <c r="C109" s="63" t="s">
        <v>377</v>
      </c>
      <c r="D109" s="63" t="s">
        <v>505</v>
      </c>
    </row>
    <row r="110" spans="1:4" ht="27" x14ac:dyDescent="0.25">
      <c r="A110" s="21" t="s">
        <v>205</v>
      </c>
      <c r="B110" s="63" t="s">
        <v>112</v>
      </c>
      <c r="C110" s="63" t="s">
        <v>444</v>
      </c>
      <c r="D110" s="63" t="s">
        <v>378</v>
      </c>
    </row>
    <row r="111" spans="1:4" ht="27" x14ac:dyDescent="0.25">
      <c r="A111" s="21" t="s">
        <v>208</v>
      </c>
      <c r="B111" s="63" t="s">
        <v>88</v>
      </c>
      <c r="C111" s="63" t="s">
        <v>445</v>
      </c>
      <c r="D111" s="63" t="s">
        <v>506</v>
      </c>
    </row>
    <row r="112" spans="1:4" ht="27" x14ac:dyDescent="0.25">
      <c r="A112" s="21" t="s">
        <v>209</v>
      </c>
      <c r="B112" s="63" t="s">
        <v>92</v>
      </c>
      <c r="C112" s="63" t="s">
        <v>379</v>
      </c>
      <c r="D112" s="63" t="s">
        <v>380</v>
      </c>
    </row>
    <row r="113" spans="1:4" x14ac:dyDescent="0.25">
      <c r="A113" s="21" t="s">
        <v>406</v>
      </c>
      <c r="B113" s="63" t="s">
        <v>408</v>
      </c>
      <c r="C113" s="63" t="s">
        <v>446</v>
      </c>
      <c r="D113" s="63" t="s">
        <v>507</v>
      </c>
    </row>
    <row r="114" spans="1:4" ht="27" x14ac:dyDescent="0.25">
      <c r="A114" s="21" t="s">
        <v>407</v>
      </c>
      <c r="B114" s="63" t="s">
        <v>409</v>
      </c>
      <c r="C114" s="63" t="s">
        <v>410</v>
      </c>
      <c r="D114" s="63" t="s">
        <v>508</v>
      </c>
    </row>
    <row r="115" spans="1:4" ht="27" x14ac:dyDescent="0.25">
      <c r="A115" s="21" t="s">
        <v>210</v>
      </c>
      <c r="B115" s="63" t="s">
        <v>97</v>
      </c>
      <c r="C115" s="63" t="s">
        <v>381</v>
      </c>
      <c r="D115" s="63" t="s">
        <v>382</v>
      </c>
    </row>
    <row r="116" spans="1:4" ht="27" x14ac:dyDescent="0.25">
      <c r="A116" s="21" t="s">
        <v>411</v>
      </c>
      <c r="B116" s="63" t="s">
        <v>415</v>
      </c>
      <c r="C116" s="63" t="s">
        <v>447</v>
      </c>
      <c r="D116" s="63" t="s">
        <v>509</v>
      </c>
    </row>
    <row r="117" spans="1:4" x14ac:dyDescent="0.25">
      <c r="A117" s="21" t="s">
        <v>412</v>
      </c>
      <c r="B117" s="63" t="s">
        <v>416</v>
      </c>
      <c r="C117" s="63" t="s">
        <v>417</v>
      </c>
      <c r="D117" s="63" t="s">
        <v>510</v>
      </c>
    </row>
    <row r="118" spans="1:4" ht="27" x14ac:dyDescent="0.25">
      <c r="A118" s="21" t="s">
        <v>413</v>
      </c>
      <c r="B118" s="63" t="s">
        <v>418</v>
      </c>
      <c r="C118" s="63" t="s">
        <v>448</v>
      </c>
      <c r="D118" s="63" t="s">
        <v>511</v>
      </c>
    </row>
    <row r="119" spans="1:4" x14ac:dyDescent="0.25">
      <c r="A119" s="21" t="s">
        <v>414</v>
      </c>
      <c r="B119" s="63" t="s">
        <v>419</v>
      </c>
      <c r="C119" s="63" t="s">
        <v>420</v>
      </c>
      <c r="D119" s="63" t="s">
        <v>421</v>
      </c>
    </row>
    <row r="120" spans="1:4" ht="81" x14ac:dyDescent="0.25">
      <c r="A120" s="21" t="s">
        <v>211</v>
      </c>
      <c r="B120" s="63" t="s">
        <v>383</v>
      </c>
      <c r="C120" s="63" t="s">
        <v>384</v>
      </c>
      <c r="D120" s="63" t="s">
        <v>512</v>
      </c>
    </row>
    <row r="121" spans="1:4" ht="108" x14ac:dyDescent="0.25">
      <c r="A121" s="21" t="s">
        <v>212</v>
      </c>
      <c r="B121" s="63" t="s">
        <v>385</v>
      </c>
      <c r="C121" s="63" t="s">
        <v>386</v>
      </c>
      <c r="D121" s="63" t="s">
        <v>513</v>
      </c>
    </row>
    <row r="122" spans="1:4" ht="27" x14ac:dyDescent="0.25">
      <c r="A122" s="21" t="s">
        <v>213</v>
      </c>
      <c r="B122" s="63" t="s">
        <v>387</v>
      </c>
      <c r="C122" s="63" t="s">
        <v>388</v>
      </c>
      <c r="D122" s="63" t="s">
        <v>514</v>
      </c>
    </row>
    <row r="123" spans="1:4" ht="40.5" x14ac:dyDescent="0.25">
      <c r="A123" s="21" t="s">
        <v>214</v>
      </c>
      <c r="B123" s="63" t="s">
        <v>389</v>
      </c>
      <c r="C123" s="63" t="s">
        <v>390</v>
      </c>
      <c r="D123" s="63" t="s">
        <v>515</v>
      </c>
    </row>
    <row r="124" spans="1:4" ht="40.5" x14ac:dyDescent="0.25">
      <c r="A124" s="21" t="s">
        <v>215</v>
      </c>
      <c r="B124" s="63" t="s">
        <v>391</v>
      </c>
      <c r="C124" s="63" t="s">
        <v>392</v>
      </c>
      <c r="D124" s="63" t="s">
        <v>516</v>
      </c>
    </row>
    <row r="125" spans="1:4" x14ac:dyDescent="0.25">
      <c r="A125" s="21" t="s">
        <v>216</v>
      </c>
      <c r="B125" s="63" t="s">
        <v>216</v>
      </c>
      <c r="C125" s="63" t="s">
        <v>398</v>
      </c>
      <c r="D125" s="63" t="s">
        <v>399</v>
      </c>
    </row>
    <row r="126" spans="1:4" x14ac:dyDescent="0.25">
      <c r="A126" s="21" t="s">
        <v>217</v>
      </c>
      <c r="B126" s="63" t="s">
        <v>218</v>
      </c>
      <c r="C126" s="63" t="s">
        <v>400</v>
      </c>
      <c r="D126" s="63" t="s">
        <v>401</v>
      </c>
    </row>
    <row r="127" spans="1:4" x14ac:dyDescent="0.25">
      <c r="A127" s="21" t="s">
        <v>220</v>
      </c>
      <c r="B127" s="63" t="s">
        <v>219</v>
      </c>
      <c r="C127" s="63" t="s">
        <v>402</v>
      </c>
      <c r="D127" s="63" t="s">
        <v>403</v>
      </c>
    </row>
    <row r="128" spans="1:4" ht="108" x14ac:dyDescent="0.25">
      <c r="A128" s="21" t="s">
        <v>423</v>
      </c>
      <c r="B128" s="63" t="s">
        <v>425</v>
      </c>
      <c r="C128" s="63" t="s">
        <v>404</v>
      </c>
      <c r="D128" s="63" t="s">
        <v>517</v>
      </c>
    </row>
    <row r="129" spans="1:4" ht="81" x14ac:dyDescent="0.25">
      <c r="A129" s="21" t="s">
        <v>424</v>
      </c>
      <c r="B129" s="63" t="s">
        <v>426</v>
      </c>
      <c r="C129" s="63" t="s">
        <v>405</v>
      </c>
      <c r="D129" s="63" t="s">
        <v>518</v>
      </c>
    </row>
    <row r="130" spans="1:4" x14ac:dyDescent="0.25">
      <c r="B130" s="63"/>
      <c r="C130" s="63"/>
      <c r="D130" s="63"/>
    </row>
    <row r="131" spans="1:4" x14ac:dyDescent="0.25">
      <c r="B131" s="63"/>
      <c r="C131" s="63"/>
      <c r="D131" s="63"/>
    </row>
    <row r="132" spans="1:4" x14ac:dyDescent="0.25">
      <c r="B132" s="63"/>
      <c r="C132" s="63"/>
      <c r="D132" s="63"/>
    </row>
    <row r="133" spans="1:4" x14ac:dyDescent="0.25">
      <c r="B133" s="63"/>
      <c r="C133" s="63"/>
      <c r="D133" s="63"/>
    </row>
    <row r="134" spans="1:4" x14ac:dyDescent="0.25">
      <c r="B134" s="63"/>
      <c r="C134" s="63"/>
      <c r="D134" s="63"/>
    </row>
    <row r="135" spans="1:4" x14ac:dyDescent="0.25">
      <c r="B135" s="63"/>
      <c r="C135" s="63"/>
      <c r="D135" s="63"/>
    </row>
    <row r="136" spans="1:4" x14ac:dyDescent="0.25">
      <c r="B136" s="63"/>
      <c r="C136" s="63"/>
      <c r="D136" s="63"/>
    </row>
    <row r="137" spans="1:4" x14ac:dyDescent="0.25">
      <c r="B137" s="63"/>
      <c r="C137" s="63"/>
      <c r="D137" s="63"/>
    </row>
  </sheetData>
  <phoneticPr fontId="12" type="noConversion"/>
  <conditionalFormatting sqref="B1:D1048576">
    <cfRule type="expression" dxfId="41" priority="2">
      <formula>_xlfn.ISFORMULA(B1)</formula>
    </cfRule>
  </conditionalFormatting>
  <conditionalFormatting sqref="A1:D1048576">
    <cfRule type="expression" dxfId="40" priority="1">
      <formula>_xlfn.ISFORMULA(A1)</formula>
    </cfRule>
  </conditionalFormatting>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03C42-B851-4067-A02A-BF59D106C576}">
  <sheetPr codeName="Tabelle3">
    <tabColor theme="4" tint="0.79998168889431442"/>
  </sheetPr>
  <dimension ref="A1:W14"/>
  <sheetViews>
    <sheetView showGridLines="0" showRowColHeaders="0" tabSelected="1" workbookViewId="0"/>
  </sheetViews>
  <sheetFormatPr baseColWidth="10" defaultRowHeight="15" x14ac:dyDescent="0.25"/>
  <cols>
    <col min="1" max="2" width="1.7109375" style="2" customWidth="1"/>
    <col min="3" max="23" width="8.28515625" customWidth="1"/>
  </cols>
  <sheetData>
    <row r="1" spans="3:23" s="2" customFormat="1" ht="13.5" x14ac:dyDescent="0.25">
      <c r="C1" s="7"/>
    </row>
    <row r="2" spans="3:23" s="8" customFormat="1" ht="21" customHeight="1" x14ac:dyDescent="0.25">
      <c r="C2" s="23" t="str">
        <f>VLOOKUP("Analyse DZV",m_texte,2,FALSE)</f>
        <v>Analyse Erfordernis Versicherungsschutz des Partners gemäss Direktzahlungsverordnung</v>
      </c>
      <c r="D2" s="24"/>
      <c r="E2" s="24"/>
      <c r="F2" s="24"/>
      <c r="G2" s="24"/>
      <c r="H2" s="24"/>
      <c r="I2" s="24"/>
      <c r="J2" s="24"/>
      <c r="K2" s="24"/>
      <c r="L2" s="25"/>
      <c r="M2" s="24"/>
      <c r="N2" s="24"/>
      <c r="O2" s="24"/>
      <c r="P2" s="24"/>
      <c r="Q2" s="24"/>
      <c r="R2" s="24"/>
      <c r="S2" s="24"/>
      <c r="T2" s="24"/>
      <c r="U2" s="24"/>
      <c r="V2" s="24"/>
      <c r="W2" s="24"/>
    </row>
    <row r="3" spans="3:23" s="2" customFormat="1" ht="9" customHeight="1" x14ac:dyDescent="0.25">
      <c r="C3" s="7"/>
    </row>
    <row r="4" spans="3:23" s="8" customFormat="1" ht="21" customHeight="1" x14ac:dyDescent="0.25">
      <c r="C4" s="23" t="str">
        <f>VLOOKUP("Analyse DZV",m_texte,3,FALSE)</f>
        <v>Analyse des exigences en matière de couverture d'assurance du partenaire conformément à l'ordonnance sur les paiements directs</v>
      </c>
      <c r="D4" s="24"/>
      <c r="E4" s="24"/>
      <c r="F4" s="24"/>
      <c r="G4" s="24"/>
      <c r="H4" s="24"/>
      <c r="I4" s="24"/>
      <c r="J4" s="24"/>
      <c r="K4" s="24"/>
      <c r="L4" s="25"/>
      <c r="M4" s="24"/>
      <c r="N4" s="24"/>
      <c r="O4" s="24"/>
      <c r="P4" s="24"/>
      <c r="Q4" s="24"/>
      <c r="R4" s="24"/>
      <c r="S4" s="24"/>
      <c r="T4" s="24"/>
      <c r="U4" s="24"/>
      <c r="V4" s="24"/>
      <c r="W4" s="24"/>
    </row>
    <row r="5" spans="3:23" s="2" customFormat="1" ht="9" customHeight="1" x14ac:dyDescent="0.25">
      <c r="C5" s="7"/>
    </row>
    <row r="6" spans="3:23" s="8" customFormat="1" ht="21" customHeight="1" x14ac:dyDescent="0.25">
      <c r="C6" s="23" t="str">
        <f>VLOOKUP("Analyse DZV",m_texte,4,FALSE)</f>
        <v>Analisi delle esigenze di copertura assicurativa del/della partner ai sensi dell’ordinanza sui pagamenti diretti</v>
      </c>
      <c r="D6" s="24"/>
      <c r="E6" s="24"/>
      <c r="F6" s="24"/>
      <c r="G6" s="24"/>
      <c r="H6" s="24"/>
      <c r="I6" s="24"/>
      <c r="J6" s="24"/>
      <c r="K6" s="24"/>
      <c r="L6" s="25"/>
      <c r="M6" s="24"/>
      <c r="N6" s="24"/>
      <c r="O6" s="24"/>
      <c r="P6" s="24"/>
      <c r="Q6" s="24"/>
      <c r="R6" s="24"/>
      <c r="S6" s="24"/>
      <c r="T6" s="24"/>
      <c r="U6" s="24"/>
      <c r="V6" s="24"/>
      <c r="W6" s="24"/>
    </row>
    <row r="7" spans="3:23" s="2" customFormat="1" ht="13.5" x14ac:dyDescent="0.25">
      <c r="C7" s="7"/>
    </row>
    <row r="8" spans="3:23" s="2" customFormat="1" ht="13.5" x14ac:dyDescent="0.25">
      <c r="C8" s="7"/>
    </row>
    <row r="9" spans="3:23" s="2" customFormat="1" ht="18" customHeight="1" x14ac:dyDescent="0.25">
      <c r="C9" s="69" t="s">
        <v>523</v>
      </c>
      <c r="D9" s="69"/>
      <c r="E9" s="69"/>
      <c r="F9" s="69"/>
      <c r="G9" s="69"/>
      <c r="H9" s="69"/>
      <c r="I9" s="69"/>
      <c r="J9" s="69"/>
      <c r="K9" s="69"/>
      <c r="L9" s="69"/>
      <c r="O9" s="68" t="s">
        <v>520</v>
      </c>
      <c r="U9" s="67"/>
      <c r="V9" s="67"/>
      <c r="W9" s="67"/>
    </row>
    <row r="10" spans="3:23" s="2" customFormat="1" ht="18" customHeight="1" x14ac:dyDescent="0.25">
      <c r="C10" s="69"/>
      <c r="D10" s="69"/>
      <c r="E10" s="69"/>
      <c r="F10" s="69"/>
      <c r="G10" s="69"/>
      <c r="H10" s="69"/>
      <c r="I10" s="69"/>
      <c r="J10" s="69"/>
      <c r="K10" s="69"/>
      <c r="L10" s="69"/>
    </row>
    <row r="11" spans="3:23" ht="18" customHeight="1" x14ac:dyDescent="0.25">
      <c r="C11" s="69" t="s">
        <v>522</v>
      </c>
      <c r="D11" s="69"/>
      <c r="E11" s="69"/>
      <c r="F11" s="69"/>
      <c r="G11" s="69"/>
      <c r="H11" s="69"/>
      <c r="I11" s="69"/>
      <c r="J11" s="69"/>
      <c r="K11" s="69"/>
      <c r="L11" s="69"/>
    </row>
    <row r="12" spans="3:23" ht="18" customHeight="1" x14ac:dyDescent="0.25">
      <c r="C12" s="69"/>
      <c r="D12" s="69"/>
      <c r="E12" s="69"/>
      <c r="F12" s="69"/>
      <c r="G12" s="69"/>
      <c r="H12" s="69"/>
      <c r="I12" s="69"/>
      <c r="J12" s="69"/>
      <c r="K12" s="69"/>
      <c r="L12" s="69"/>
    </row>
    <row r="13" spans="3:23" ht="18" customHeight="1" x14ac:dyDescent="0.25">
      <c r="C13" s="69" t="s">
        <v>521</v>
      </c>
      <c r="D13" s="69"/>
      <c r="E13" s="69"/>
      <c r="F13" s="69"/>
      <c r="G13" s="69"/>
      <c r="H13" s="69"/>
      <c r="I13" s="69"/>
      <c r="J13" s="69"/>
      <c r="K13" s="69"/>
      <c r="L13" s="69"/>
    </row>
    <row r="14" spans="3:23" ht="18" customHeight="1" x14ac:dyDescent="0.25">
      <c r="C14" s="69"/>
      <c r="D14" s="69"/>
      <c r="E14" s="69"/>
      <c r="F14" s="69"/>
      <c r="G14" s="69"/>
      <c r="H14" s="69"/>
      <c r="I14" s="69"/>
      <c r="J14" s="69"/>
      <c r="K14" s="69"/>
      <c r="L14" s="69"/>
    </row>
  </sheetData>
  <sheetProtection algorithmName="SHA-512" hashValue="iwBJ8yjefujcBF1Ik3XhmJCBn4u0EXwXRKVirvnY3aZSewBNEY5c2jJ2LqWqOGTSk+1ATURCwBZWP6lvNNl+HQ==" saltValue="qJVe1YhpxF0wsI2IwJe0DQ==" spinCount="100000" sheet="1" objects="1" scenarios="1"/>
  <mergeCells count="3">
    <mergeCell ref="C9:L10"/>
    <mergeCell ref="C11:L12"/>
    <mergeCell ref="C13:L14"/>
  </mergeCell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Drop Down 1">
              <controlPr defaultSize="0" autoLine="0" autoPict="0">
                <anchor moveWithCells="1">
                  <from>
                    <xdr:col>18</xdr:col>
                    <xdr:colOff>0</xdr:colOff>
                    <xdr:row>7</xdr:row>
                    <xdr:rowOff>171450</xdr:rowOff>
                  </from>
                  <to>
                    <xdr:col>20</xdr:col>
                    <xdr:colOff>0</xdr:colOff>
                    <xdr:row>9</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69EFC-F57C-43AC-B108-B8FC394682E3}">
  <sheetPr codeName="Tabelle1">
    <tabColor theme="4" tint="0.39997558519241921"/>
    <pageSetUpPr autoPageBreaks="0" fitToPage="1"/>
  </sheetPr>
  <dimension ref="C2:U33"/>
  <sheetViews>
    <sheetView showGridLines="0" showRowColHeaders="0" zoomScaleNormal="100" workbookViewId="0"/>
  </sheetViews>
  <sheetFormatPr baseColWidth="10" defaultColWidth="11.42578125" defaultRowHeight="13.5" x14ac:dyDescent="0.25"/>
  <cols>
    <col min="1" max="2" width="1.7109375" style="2" customWidth="1"/>
    <col min="3" max="3" width="3.7109375" style="7" customWidth="1"/>
    <col min="4" max="10" width="8.7109375" style="2" customWidth="1"/>
    <col min="11" max="11" width="2.7109375" style="2" customWidth="1"/>
    <col min="12" max="12" width="10.7109375" style="2" customWidth="1"/>
    <col min="13" max="13" width="2.7109375" style="2" customWidth="1"/>
    <col min="14" max="19" width="10.7109375" style="2" customWidth="1"/>
    <col min="20" max="16384" width="11.42578125" style="2"/>
  </cols>
  <sheetData>
    <row r="2" spans="3:21" s="8" customFormat="1" ht="21" x14ac:dyDescent="0.25">
      <c r="C2" s="23" t="str">
        <f>VLOOKUP("Analyse DZV",m_texte,_xlfn.SINGLE(v_sprachcode),FALSE)</f>
        <v>Analyse Erfordernis Versicherungsschutz des Partners gemäss Direktzahlungsverordnung</v>
      </c>
      <c r="D2" s="24"/>
      <c r="E2" s="24"/>
      <c r="F2" s="24"/>
      <c r="G2" s="24"/>
      <c r="H2" s="24"/>
      <c r="I2" s="24"/>
      <c r="J2" s="24"/>
      <c r="K2" s="24"/>
      <c r="L2" s="25"/>
      <c r="M2" s="24"/>
      <c r="N2" s="24"/>
      <c r="O2" s="24"/>
      <c r="P2" s="24"/>
      <c r="Q2" s="24"/>
      <c r="R2" s="24"/>
      <c r="S2" s="24"/>
      <c r="T2" s="24"/>
      <c r="U2" s="24"/>
    </row>
    <row r="4" spans="3:21" ht="15" customHeight="1" x14ac:dyDescent="0.25">
      <c r="C4" s="74" t="str">
        <f>VLOOKUP("txt_analyse_1",m_texte,v_sprachcode,FALSE)</f>
        <v>Im Sinne der Lesbarkeit wird im Folgenden für Ehepartnerin, Ehepartner, eingetragene Partnerin und eingetragener Partner ausschliesslich der Begriff Partner verwendet.</v>
      </c>
      <c r="D4" s="74"/>
      <c r="E4" s="74"/>
      <c r="F4" s="74"/>
      <c r="G4" s="74"/>
      <c r="H4" s="74"/>
      <c r="I4" s="74"/>
      <c r="J4" s="74"/>
      <c r="K4" s="74"/>
      <c r="L4" s="74"/>
      <c r="U4" s="67" t="s">
        <v>524</v>
      </c>
    </row>
    <row r="5" spans="3:21" x14ac:dyDescent="0.25">
      <c r="C5" s="74"/>
      <c r="D5" s="74"/>
      <c r="E5" s="74"/>
      <c r="F5" s="74"/>
      <c r="G5" s="74"/>
      <c r="H5" s="74"/>
      <c r="I5" s="74"/>
      <c r="J5" s="74"/>
      <c r="K5" s="74"/>
      <c r="L5" s="74"/>
    </row>
    <row r="6" spans="3:21" ht="9" customHeight="1" x14ac:dyDescent="0.25">
      <c r="C6" s="17"/>
      <c r="D6" s="17"/>
      <c r="E6" s="17"/>
      <c r="F6" s="17"/>
      <c r="G6" s="17"/>
      <c r="H6" s="17"/>
      <c r="I6" s="17"/>
      <c r="J6" s="17"/>
      <c r="K6" s="17"/>
      <c r="L6" s="17"/>
    </row>
    <row r="7" spans="3:21" ht="13.5" customHeight="1" x14ac:dyDescent="0.25">
      <c r="C7" s="74" t="str">
        <f>VLOOKUP("txt_analyse_2",m_texte,v_sprachcode,FALSE)</f>
        <v>Für das Ausfüllen bitten wir Sie, die Steuererklärungen der letzten zwei Jahre, aktuelle Versicherungspolicen sowie Unterlagen zu bestehenden Anstellungsverhältnissen bereitzuhalten.</v>
      </c>
      <c r="D7" s="74"/>
      <c r="E7" s="74"/>
      <c r="F7" s="74"/>
      <c r="G7" s="74"/>
      <c r="H7" s="74"/>
      <c r="I7" s="74"/>
      <c r="J7" s="74"/>
      <c r="K7" s="74"/>
      <c r="L7" s="74"/>
    </row>
    <row r="8" spans="3:21" x14ac:dyDescent="0.25">
      <c r="C8" s="74"/>
      <c r="D8" s="74"/>
      <c r="E8" s="74"/>
      <c r="F8" s="74"/>
      <c r="G8" s="74"/>
      <c r="H8" s="74"/>
      <c r="I8" s="74"/>
      <c r="J8" s="74"/>
      <c r="K8" s="74"/>
      <c r="L8" s="74"/>
    </row>
    <row r="9" spans="3:21" ht="9" customHeight="1" x14ac:dyDescent="0.25">
      <c r="C9" s="17"/>
      <c r="D9" s="17"/>
      <c r="E9" s="17"/>
      <c r="F9" s="17"/>
      <c r="G9" s="17"/>
      <c r="H9" s="17"/>
      <c r="I9" s="17"/>
      <c r="J9" s="17"/>
      <c r="K9" s="17"/>
      <c r="L9" s="17"/>
    </row>
    <row r="10" spans="3:21" ht="15" customHeight="1" x14ac:dyDescent="0.25">
      <c r="C10" s="27">
        <v>1</v>
      </c>
      <c r="D10" s="71" t="str">
        <f>VLOOKUP("txt_analyse_3",m_texte,v_sprachcode,FALSE)</f>
        <v>War der Partner am 1. Januar des Beitragsjahrs mit dem Bewirtschafter verheiratet oder in einer eingetragenen Partnerschaft lebend?</v>
      </c>
      <c r="E10" s="71"/>
      <c r="F10" s="71"/>
      <c r="G10" s="71"/>
      <c r="H10" s="71"/>
      <c r="I10" s="71"/>
      <c r="J10" s="71"/>
      <c r="K10" s="28"/>
      <c r="L10" s="18"/>
      <c r="N10" s="76" t="str">
        <f>IF(NOT(bln_alle_antworten_1),VLOOKUP("Bitte alle Fragen beantworten.",m_texte,v_sprachcode,FALSE),IF(bln_nachweis_erforderlich,VLOOKUP("txt_analyse_11",m_texte,v_sprachcode,FALSE),VLOOKUP("txt_analyse_12",m_texte,v_sprachcode,FALSE)))</f>
        <v>Bitte alle Fragen beantworten.</v>
      </c>
      <c r="O10" s="76"/>
      <c r="P10" s="76"/>
      <c r="Q10" s="76"/>
      <c r="R10" s="76"/>
    </row>
    <row r="11" spans="3:21" ht="15" customHeight="1" x14ac:dyDescent="0.25">
      <c r="C11" s="29"/>
      <c r="D11" s="72"/>
      <c r="E11" s="72"/>
      <c r="F11" s="72"/>
      <c r="G11" s="72"/>
      <c r="H11" s="72"/>
      <c r="I11" s="72"/>
      <c r="J11" s="72"/>
      <c r="K11" s="30"/>
      <c r="N11" s="76"/>
      <c r="O11" s="76"/>
      <c r="P11" s="76"/>
      <c r="Q11" s="76"/>
      <c r="R11" s="76"/>
    </row>
    <row r="12" spans="3:21" ht="15" customHeight="1" x14ac:dyDescent="0.25">
      <c r="D12" s="11"/>
      <c r="E12" s="11"/>
      <c r="F12" s="11"/>
      <c r="G12" s="11"/>
      <c r="H12" s="11"/>
      <c r="I12" s="11"/>
      <c r="J12" s="11"/>
      <c r="K12" s="11"/>
      <c r="N12" s="76"/>
      <c r="O12" s="76"/>
      <c r="P12" s="76"/>
      <c r="Q12" s="76"/>
      <c r="R12" s="76"/>
    </row>
    <row r="13" spans="3:21" ht="15" customHeight="1" x14ac:dyDescent="0.25">
      <c r="C13" s="27">
        <v>2</v>
      </c>
      <c r="D13" s="71" t="str">
        <f>VLOOKUP("txt_analyse_4",m_texte,v_sprachcode,FALSE)</f>
        <v>Ist der Partner im Jahr 1972 oder früher geboren?</v>
      </c>
      <c r="E13" s="71"/>
      <c r="F13" s="71"/>
      <c r="G13" s="71"/>
      <c r="H13" s="71"/>
      <c r="I13" s="71"/>
      <c r="J13" s="71"/>
      <c r="K13" s="28"/>
      <c r="L13" s="18"/>
      <c r="N13" s="76"/>
      <c r="O13" s="76"/>
      <c r="P13" s="76"/>
      <c r="Q13" s="76"/>
      <c r="R13" s="76"/>
    </row>
    <row r="14" spans="3:21" ht="15" customHeight="1" x14ac:dyDescent="0.25">
      <c r="C14" s="29"/>
      <c r="D14" s="72"/>
      <c r="E14" s="72"/>
      <c r="F14" s="72"/>
      <c r="G14" s="72"/>
      <c r="H14" s="72"/>
      <c r="I14" s="72"/>
      <c r="J14" s="72"/>
      <c r="K14" s="30"/>
    </row>
    <row r="15" spans="3:21" ht="15" customHeight="1" x14ac:dyDescent="0.25">
      <c r="D15" s="11"/>
      <c r="E15" s="11"/>
      <c r="F15" s="11"/>
      <c r="G15" s="11"/>
      <c r="H15" s="11"/>
      <c r="I15" s="11"/>
      <c r="J15" s="11"/>
      <c r="K15" s="11"/>
      <c r="O15" s="73" t="str">
        <f>VLOOKUP("Weiter zur Auswertung",m_texte,v_sprachcode,FALSE)</f>
        <v>Weiter zur Auswertung</v>
      </c>
      <c r="P15" s="73"/>
      <c r="Q15" s="77" t="str">
        <f>VLOOKUP("Weiter zu Schritt 2",m_texte,v_sprachcode,FALSE)</f>
        <v>Weiter zu Schritt 2</v>
      </c>
      <c r="R15" s="77"/>
    </row>
    <row r="16" spans="3:21" ht="15" customHeight="1" x14ac:dyDescent="0.25">
      <c r="C16" s="27">
        <v>3</v>
      </c>
      <c r="D16" s="71" t="str">
        <f>VLOOKUP("txt_analyse_5",m_texte,v_sprachcode,FALSE)</f>
        <v>Ist der Partner im kantonalen Agrardatensystem als mitbewirtschaftende Person des Betriebes erfasst?</v>
      </c>
      <c r="E16" s="71"/>
      <c r="F16" s="71"/>
      <c r="G16" s="71"/>
      <c r="H16" s="71"/>
      <c r="I16" s="71"/>
      <c r="J16" s="71"/>
      <c r="K16" s="28"/>
      <c r="L16" s="18"/>
      <c r="O16" s="73"/>
      <c r="P16" s="73"/>
      <c r="Q16" s="77"/>
      <c r="R16" s="77"/>
    </row>
    <row r="17" spans="3:20" ht="15" customHeight="1" x14ac:dyDescent="0.25">
      <c r="C17" s="29"/>
      <c r="D17" s="72"/>
      <c r="E17" s="72"/>
      <c r="F17" s="72"/>
      <c r="G17" s="72"/>
      <c r="H17" s="72"/>
      <c r="I17" s="72"/>
      <c r="J17" s="72"/>
      <c r="K17" s="30"/>
      <c r="S17"/>
      <c r="T17"/>
    </row>
    <row r="18" spans="3:20" ht="15" customHeight="1" x14ac:dyDescent="0.25">
      <c r="D18" s="11"/>
      <c r="E18" s="11"/>
      <c r="F18" s="11"/>
      <c r="G18" s="11"/>
      <c r="H18" s="11"/>
      <c r="I18" s="11"/>
      <c r="J18" s="11"/>
      <c r="K18" s="11"/>
      <c r="S18"/>
      <c r="T18"/>
    </row>
    <row r="19" spans="3:20" ht="15" customHeight="1" x14ac:dyDescent="0.25">
      <c r="C19" s="27">
        <v>4</v>
      </c>
      <c r="D19" s="71" t="str">
        <f>VLOOKUP("txt_analyse_6",m_texte,v_sprachcode,FALSE)</f>
        <v>Haben wir in der Steuererklärung angegeben, dass der Partner regelmässig und in beträchtlichem Masse im Landwirtschaftsbetrieb mitarbeitet?</v>
      </c>
      <c r="E19" s="71"/>
      <c r="F19" s="71"/>
      <c r="G19" s="71"/>
      <c r="H19" s="71"/>
      <c r="I19" s="71"/>
      <c r="J19" s="71"/>
      <c r="K19" s="28"/>
      <c r="L19" s="18"/>
      <c r="Q19"/>
      <c r="R19"/>
      <c r="S19"/>
      <c r="T19"/>
    </row>
    <row r="20" spans="3:20" ht="15" customHeight="1" x14ac:dyDescent="0.25">
      <c r="C20" s="31"/>
      <c r="D20" s="75"/>
      <c r="E20" s="75"/>
      <c r="F20" s="75"/>
      <c r="G20" s="75"/>
      <c r="H20" s="75"/>
      <c r="I20" s="75"/>
      <c r="J20" s="75"/>
      <c r="K20" s="32"/>
    </row>
    <row r="21" spans="3:20" ht="15" customHeight="1" x14ac:dyDescent="0.25">
      <c r="C21" s="29"/>
      <c r="D21" s="72"/>
      <c r="E21" s="72"/>
      <c r="F21" s="72"/>
      <c r="G21" s="72"/>
      <c r="H21" s="72"/>
      <c r="I21" s="72"/>
      <c r="J21" s="72"/>
      <c r="K21" s="30"/>
    </row>
    <row r="22" spans="3:20" ht="15" customHeight="1" x14ac:dyDescent="0.25">
      <c r="D22" s="11"/>
      <c r="E22" s="11"/>
      <c r="F22" s="11"/>
      <c r="G22" s="11"/>
      <c r="H22" s="11"/>
      <c r="I22" s="11"/>
      <c r="J22" s="11"/>
      <c r="K22" s="11"/>
    </row>
    <row r="23" spans="3:20" ht="15" customHeight="1" x14ac:dyDescent="0.25">
      <c r="C23" s="27">
        <v>5</v>
      </c>
      <c r="D23" s="71" t="str">
        <f>VLOOKUP("txt_analyse_7",m_texte,v_sprachcode,FALSE)</f>
        <v>Erzielte der mitarbeitende Partner im Jahr vor dem Beitragsjahr ein eigenes Einkommen über CHF 22’680?</v>
      </c>
      <c r="E23" s="71"/>
      <c r="F23" s="71"/>
      <c r="G23" s="71"/>
      <c r="H23" s="71"/>
      <c r="I23" s="71"/>
      <c r="J23" s="71"/>
      <c r="K23" s="28"/>
      <c r="L23" s="18"/>
    </row>
    <row r="24" spans="3:20" ht="15" customHeight="1" x14ac:dyDescent="0.25">
      <c r="C24" s="29"/>
      <c r="D24" s="72"/>
      <c r="E24" s="72"/>
      <c r="F24" s="72"/>
      <c r="G24" s="72"/>
      <c r="H24" s="72"/>
      <c r="I24" s="72"/>
      <c r="J24" s="72"/>
      <c r="K24" s="30"/>
    </row>
    <row r="25" spans="3:20" ht="15" customHeight="1" x14ac:dyDescent="0.25">
      <c r="D25" s="11"/>
      <c r="E25" s="11"/>
      <c r="F25" s="11"/>
      <c r="G25" s="11"/>
      <c r="H25" s="11"/>
      <c r="I25" s="11"/>
      <c r="J25" s="11"/>
      <c r="K25" s="11"/>
    </row>
    <row r="26" spans="3:20" ht="15" customHeight="1" x14ac:dyDescent="0.25">
      <c r="C26" s="27">
        <v>6</v>
      </c>
      <c r="D26" s="71" t="str">
        <f>VLOOKUP("txt_analyse_8",m_texte,v_sprachcode,FALSE)</f>
        <v>War unser steuerbares Einkommen für die direkte Bundessteuer im Durchschnitt der letzten zwei Jahren höher als CHF 12'000?</v>
      </c>
      <c r="E26" s="71"/>
      <c r="F26" s="71"/>
      <c r="G26" s="71"/>
      <c r="H26" s="71"/>
      <c r="I26" s="71"/>
      <c r="J26" s="71"/>
      <c r="K26" s="28"/>
      <c r="L26" s="18"/>
    </row>
    <row r="27" spans="3:20" ht="15" customHeight="1" x14ac:dyDescent="0.25">
      <c r="C27" s="29"/>
      <c r="D27" s="72"/>
      <c r="E27" s="72"/>
      <c r="F27" s="72"/>
      <c r="G27" s="72"/>
      <c r="H27" s="72"/>
      <c r="I27" s="72"/>
      <c r="J27" s="72"/>
      <c r="K27" s="30"/>
    </row>
    <row r="28" spans="3:20" ht="15" customHeight="1" x14ac:dyDescent="0.25">
      <c r="D28" s="11"/>
      <c r="E28" s="11"/>
      <c r="F28" s="11"/>
      <c r="G28" s="11"/>
      <c r="H28" s="11"/>
      <c r="I28" s="11"/>
      <c r="J28" s="11"/>
      <c r="K28" s="11"/>
    </row>
    <row r="29" spans="3:20" ht="15" customHeight="1" x14ac:dyDescent="0.25">
      <c r="C29" s="27">
        <v>7</v>
      </c>
      <c r="D29" s="71" t="str">
        <f>VLOOKUP("txt_analyse_9",m_texte,v_sprachcode,FALSE)</f>
        <v>Wird der Betrieb in Form einer juristischen Person gemäss Art. 3 Abs. 3 DZV (bspw.  AG, GmbH, Genossenschaft) geführt?</v>
      </c>
      <c r="E29" s="71"/>
      <c r="F29" s="71"/>
      <c r="G29" s="71"/>
      <c r="H29" s="71"/>
      <c r="I29" s="71"/>
      <c r="J29" s="71"/>
      <c r="K29" s="28"/>
      <c r="L29" s="18"/>
    </row>
    <row r="30" spans="3:20" ht="15" customHeight="1" x14ac:dyDescent="0.25">
      <c r="C30" s="29"/>
      <c r="D30" s="72"/>
      <c r="E30" s="72"/>
      <c r="F30" s="72"/>
      <c r="G30" s="72"/>
      <c r="H30" s="72"/>
      <c r="I30" s="72"/>
      <c r="J30" s="72"/>
      <c r="K30" s="30"/>
    </row>
    <row r="31" spans="3:20" ht="15" customHeight="1" x14ac:dyDescent="0.25">
      <c r="D31" s="11"/>
      <c r="E31" s="11"/>
      <c r="F31" s="11"/>
      <c r="G31" s="11"/>
      <c r="H31" s="11"/>
      <c r="I31" s="11"/>
      <c r="J31" s="11"/>
      <c r="K31" s="11"/>
    </row>
    <row r="32" spans="3:20" ht="15" customHeight="1" x14ac:dyDescent="0.25">
      <c r="C32" s="27">
        <v>8</v>
      </c>
      <c r="D32" s="71" t="str">
        <f>VLOOKUP("txt_analyse_10",m_texte,v_sprachcode,FALSE)</f>
        <v>Handelt es sich beim Betrieb um einen Sömmerungs- oder Gemeinschaftsweidebetrieb?</v>
      </c>
      <c r="E32" s="71"/>
      <c r="F32" s="71"/>
      <c r="G32" s="71"/>
      <c r="H32" s="71"/>
      <c r="I32" s="71"/>
      <c r="J32" s="71"/>
      <c r="K32" s="28"/>
      <c r="L32" s="18"/>
    </row>
    <row r="33" spans="3:11" ht="15" customHeight="1" x14ac:dyDescent="0.25">
      <c r="C33" s="29"/>
      <c r="D33" s="72"/>
      <c r="E33" s="72"/>
      <c r="F33" s="72"/>
      <c r="G33" s="72"/>
      <c r="H33" s="72"/>
      <c r="I33" s="72"/>
      <c r="J33" s="72"/>
      <c r="K33" s="30"/>
    </row>
  </sheetData>
  <sheetProtection algorithmName="SHA-512" hashValue="CCeJSYFxbZTkvs+Wu8LgTxOJ9VywUOFtBf03/ibai1jOf7Zuu6W1xrkgcgcJECVK3oVciEPd2pkHlvfngnhx5g==" saltValue="WPzaXj+C2aDBGaRPocoWXQ==" spinCount="100000" sheet="1" objects="1" scenarios="1"/>
  <mergeCells count="13">
    <mergeCell ref="D32:J33"/>
    <mergeCell ref="O15:P16"/>
    <mergeCell ref="C4:L5"/>
    <mergeCell ref="D16:J17"/>
    <mergeCell ref="D19:J21"/>
    <mergeCell ref="D23:J24"/>
    <mergeCell ref="D26:J27"/>
    <mergeCell ref="N10:R13"/>
    <mergeCell ref="D29:J30"/>
    <mergeCell ref="D10:J11"/>
    <mergeCell ref="D13:J14"/>
    <mergeCell ref="Q15:R16"/>
    <mergeCell ref="C7:L8"/>
  </mergeCells>
  <conditionalFormatting sqref="L10">
    <cfRule type="expression" dxfId="39" priority="11">
      <formula>L10=""</formula>
    </cfRule>
  </conditionalFormatting>
  <conditionalFormatting sqref="L13">
    <cfRule type="expression" dxfId="38" priority="10">
      <formula>L13=""</formula>
    </cfRule>
  </conditionalFormatting>
  <conditionalFormatting sqref="L16">
    <cfRule type="expression" dxfId="37" priority="9">
      <formula>L16=""</formula>
    </cfRule>
  </conditionalFormatting>
  <conditionalFormatting sqref="L19">
    <cfRule type="expression" dxfId="36" priority="8">
      <formula>L19=""</formula>
    </cfRule>
  </conditionalFormatting>
  <conditionalFormatting sqref="L23">
    <cfRule type="expression" dxfId="35" priority="7">
      <formula>L23=""</formula>
    </cfRule>
  </conditionalFormatting>
  <conditionalFormatting sqref="L26">
    <cfRule type="expression" dxfId="34" priority="6">
      <formula>L26=""</formula>
    </cfRule>
  </conditionalFormatting>
  <conditionalFormatting sqref="L29">
    <cfRule type="expression" dxfId="33" priority="5">
      <formula>L29=""</formula>
    </cfRule>
  </conditionalFormatting>
  <conditionalFormatting sqref="L32">
    <cfRule type="expression" dxfId="32" priority="3">
      <formula>L32=""</formula>
    </cfRule>
  </conditionalFormatting>
  <conditionalFormatting sqref="N10:O10">
    <cfRule type="expression" dxfId="31" priority="12">
      <formula>NOT(bln_alle_antworten_1)</formula>
    </cfRule>
    <cfRule type="expression" dxfId="30" priority="13">
      <formula>AND(bln_nachweis_erforderlich,bln_alle_antworten_1)</formula>
    </cfRule>
  </conditionalFormatting>
  <conditionalFormatting sqref="O15">
    <cfRule type="expression" dxfId="29" priority="1">
      <formula>AND(NOT(bln_nachweis_erforderlich),bln_alle_antworten_1)</formula>
    </cfRule>
  </conditionalFormatting>
  <conditionalFormatting sqref="Q15:R16">
    <cfRule type="expression" dxfId="28" priority="4">
      <formula>AND(bln_nachweis_erforderlich,bln_alle_antworten_1)</formula>
    </cfRule>
  </conditionalFormatting>
  <dataValidations count="1">
    <dataValidation type="list" allowBlank="1" showInputMessage="1" showErrorMessage="1" sqref="L10 L13 L16 L19 L23 L26 L29 L32" xr:uid="{D6A4B48D-501F-46CA-8163-02CD0737AF0F}">
      <formula1>l_janein</formula1>
    </dataValidation>
  </dataValidations>
  <hyperlinks>
    <hyperlink ref="Q15:R16" location="Taggeld!A1" display="Weiter zu Schritt 2" xr:uid="{61CDC5EB-FCAC-4288-9E83-9705EFA728E8}"/>
    <hyperlink ref="O15:P16" location="Nachweisformular!A1" display="Weiter zur Auswertung" xr:uid="{DA90A118-BE82-4BFB-AECD-9BA08CAEA96F}"/>
  </hyperlinks>
  <pageMargins left="0.39370078740157483" right="0.39370078740157483" top="0.59055118110236227" bottom="0.39370078740157483" header="0.31496062992125984" footer="0.31496062992125984"/>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DC661-2B93-44EE-9DA9-7AD23A69CD60}">
  <sheetPr codeName="Tabelle4">
    <tabColor theme="4" tint="0.39997558519241921"/>
    <pageSetUpPr autoPageBreaks="0"/>
  </sheetPr>
  <dimension ref="C1:AM27"/>
  <sheetViews>
    <sheetView showGridLines="0" showRowColHeaders="0" zoomScaleNormal="100" workbookViewId="0"/>
  </sheetViews>
  <sheetFormatPr baseColWidth="10" defaultColWidth="11.42578125" defaultRowHeight="15" x14ac:dyDescent="0.25"/>
  <cols>
    <col min="1" max="2" width="1.7109375" style="12" customWidth="1"/>
    <col min="3" max="6" width="4.7109375" style="12" customWidth="1"/>
    <col min="7" max="14" width="5.7109375" style="12" customWidth="1"/>
    <col min="15" max="22" width="4.7109375" style="12" customWidth="1"/>
    <col min="23" max="29" width="5.7109375" style="12" customWidth="1"/>
    <col min="30" max="35" width="4.7109375" style="12" customWidth="1"/>
    <col min="36" max="16384" width="11.42578125" style="12"/>
  </cols>
  <sheetData>
    <row r="1" spans="3:39" s="2" customFormat="1" ht="13.5" x14ac:dyDescent="0.25">
      <c r="C1" s="7"/>
    </row>
    <row r="2" spans="3:39" s="8" customFormat="1" ht="21" x14ac:dyDescent="0.25">
      <c r="C2" s="23" t="str">
        <f>VLOOKUP("Analyse DZV",m_texte,v_sprachcode,FALSE)</f>
        <v>Analyse Erfordernis Versicherungsschutz des Partners gemäss Direktzahlungsverordnung</v>
      </c>
      <c r="D2" s="24"/>
      <c r="E2" s="24"/>
      <c r="F2" s="24"/>
      <c r="G2" s="24"/>
      <c r="H2" s="24"/>
      <c r="I2" s="24"/>
      <c r="J2" s="24"/>
      <c r="K2" s="24"/>
      <c r="L2" s="24"/>
      <c r="M2" s="24"/>
      <c r="N2" s="24"/>
      <c r="O2" s="24"/>
      <c r="P2" s="24"/>
      <c r="Q2" s="24"/>
      <c r="R2" s="24"/>
      <c r="S2" s="24"/>
      <c r="T2" s="24"/>
      <c r="U2" s="24"/>
      <c r="V2" s="25"/>
      <c r="W2" s="25"/>
      <c r="X2" s="24"/>
      <c r="Y2" s="24"/>
      <c r="Z2" s="24"/>
      <c r="AA2" s="24"/>
      <c r="AB2" s="24"/>
      <c r="AC2" s="24"/>
      <c r="AD2" s="24"/>
      <c r="AE2" s="24"/>
      <c r="AF2" s="24"/>
      <c r="AG2" s="24"/>
      <c r="AH2" s="24"/>
      <c r="AI2" s="24"/>
      <c r="AJ2" s="24"/>
      <c r="AK2" s="24"/>
    </row>
    <row r="3" spans="3:39" s="2" customFormat="1" ht="13.5" x14ac:dyDescent="0.25">
      <c r="C3" s="7"/>
    </row>
    <row r="4" spans="3:39" s="2" customFormat="1" ht="15" customHeight="1" x14ac:dyDescent="0.25">
      <c r="C4" s="74" t="str">
        <f>VLOOKUP("txt_taggeld_1",m_texte,v_sprachcode,FALSE)</f>
        <v>Die Fragen richten sich an den Partner des Bewirtschafters. Wird eine der beiden Fragen mit "Ja" beantwortet, ist für den Partner der Nachweis eines Taggeldversicherungsschutzes nicht erforderlich.</v>
      </c>
      <c r="D4" s="74"/>
      <c r="E4" s="74"/>
      <c r="F4" s="74"/>
      <c r="G4" s="74"/>
      <c r="H4" s="74"/>
      <c r="I4" s="74"/>
      <c r="J4" s="74"/>
      <c r="K4" s="74"/>
      <c r="L4" s="74"/>
      <c r="M4" s="74"/>
      <c r="N4" s="74"/>
      <c r="O4" s="74"/>
      <c r="P4" s="74"/>
      <c r="Q4" s="74"/>
      <c r="R4" s="74"/>
      <c r="S4" s="74"/>
      <c r="T4" s="74"/>
      <c r="U4" s="74"/>
      <c r="V4" s="74"/>
      <c r="W4" s="17"/>
      <c r="AG4" s="108" t="str">
        <f>VLOOKUP("zurück",m_texte,v_sprachcode,FALSE)</f>
        <v>zurück</v>
      </c>
      <c r="AH4" s="108"/>
      <c r="AI4" s="108"/>
    </row>
    <row r="5" spans="3:39" s="2" customFormat="1" ht="13.5" x14ac:dyDescent="0.25">
      <c r="C5" s="74"/>
      <c r="D5" s="74"/>
      <c r="E5" s="74"/>
      <c r="F5" s="74"/>
      <c r="G5" s="74"/>
      <c r="H5" s="74"/>
      <c r="I5" s="74"/>
      <c r="J5" s="74"/>
      <c r="K5" s="74"/>
      <c r="L5" s="74"/>
      <c r="M5" s="74"/>
      <c r="N5" s="74"/>
      <c r="O5" s="74"/>
      <c r="P5" s="74"/>
      <c r="Q5" s="74"/>
      <c r="R5" s="74"/>
      <c r="S5" s="74"/>
      <c r="T5" s="74"/>
      <c r="U5" s="74"/>
      <c r="V5" s="74"/>
      <c r="W5" s="17"/>
      <c r="AG5" s="108"/>
      <c r="AH5" s="108"/>
      <c r="AI5" s="108"/>
    </row>
    <row r="6" spans="3:39" s="2" customFormat="1" ht="13.5" x14ac:dyDescent="0.25">
      <c r="C6" s="7"/>
    </row>
    <row r="7" spans="3:39" s="9" customFormat="1" ht="30" customHeight="1" x14ac:dyDescent="0.25">
      <c r="C7" s="9" t="str">
        <f>VLOOKUP("txt_taggeld_2",m_texte,v_sprachcode,FALSE)</f>
        <v>Schritt 2: Beurteilung Versicherungsschutz – Taggeldversicherung bei Arbeitsunfähigkeit</v>
      </c>
      <c r="AI7" s="2"/>
      <c r="AJ7" s="2"/>
      <c r="AK7" s="2"/>
      <c r="AL7" s="2"/>
      <c r="AM7" s="2"/>
    </row>
    <row r="8" spans="3:39" s="2" customFormat="1" ht="15" customHeight="1" x14ac:dyDescent="0.25">
      <c r="C8" s="109">
        <v>1</v>
      </c>
      <c r="D8" s="96" t="str">
        <f>VLOOKUP("txt_taggeld_3",m_texte,v_sprachcode,FALSE)</f>
        <v>Aufgrund meines Gesundheitszustandes habe ich innerhalb der letzten 5 Jahre einen Vorbehalt für meine beantragte Taggeldversicherung erhalten.</v>
      </c>
      <c r="E8" s="96"/>
      <c r="F8" s="96"/>
      <c r="G8" s="96"/>
      <c r="H8" s="96"/>
      <c r="I8" s="96"/>
      <c r="J8" s="96"/>
      <c r="K8" s="96"/>
      <c r="L8" s="96"/>
      <c r="M8" s="96"/>
      <c r="N8" s="96"/>
      <c r="O8" s="96"/>
      <c r="P8" s="96"/>
      <c r="Q8" s="96"/>
      <c r="R8" s="96"/>
      <c r="S8" s="96"/>
      <c r="T8" s="33"/>
      <c r="U8" s="28"/>
      <c r="V8" s="106"/>
      <c r="W8" s="107"/>
      <c r="Y8" s="98" t="str">
        <f>IF(NOT(bln_alle_antworten_2),VLOOKUP("Bitte alle Fragen beantworten.",m_texte,v_sprachcode,FALSE),IF(bln_taggeld_erforderlich,VLOOKUP("txt_taggeld_7",m_texte,v_sprachcode,FALSE),VLOOKUP("txt_taggeld_8",m_texte,v_sprachcode,FALSE)))</f>
        <v>Bitte alle Fragen beantworten.</v>
      </c>
      <c r="Z8" s="99"/>
      <c r="AA8" s="99"/>
      <c r="AB8" s="99"/>
      <c r="AC8" s="99"/>
      <c r="AD8" s="99"/>
      <c r="AE8" s="99"/>
      <c r="AF8" s="99"/>
      <c r="AG8" s="99"/>
      <c r="AH8" s="99"/>
      <c r="AI8" s="100"/>
    </row>
    <row r="9" spans="3:39" s="2" customFormat="1" ht="15" customHeight="1" x14ac:dyDescent="0.25">
      <c r="C9" s="110"/>
      <c r="D9" s="97"/>
      <c r="E9" s="97"/>
      <c r="F9" s="97"/>
      <c r="G9" s="97"/>
      <c r="H9" s="97"/>
      <c r="I9" s="97"/>
      <c r="J9" s="97"/>
      <c r="K9" s="97"/>
      <c r="L9" s="97"/>
      <c r="M9" s="97"/>
      <c r="N9" s="97"/>
      <c r="O9" s="97"/>
      <c r="P9" s="97"/>
      <c r="Q9" s="97"/>
      <c r="R9" s="97"/>
      <c r="S9" s="97"/>
      <c r="T9" s="34"/>
      <c r="U9" s="30"/>
      <c r="Y9" s="101"/>
      <c r="Z9" s="76"/>
      <c r="AA9" s="76"/>
      <c r="AB9" s="76"/>
      <c r="AC9" s="76"/>
      <c r="AD9" s="76"/>
      <c r="AE9" s="76"/>
      <c r="AF9" s="76"/>
      <c r="AG9" s="76"/>
      <c r="AH9" s="76"/>
      <c r="AI9" s="102"/>
    </row>
    <row r="10" spans="3:39" s="2" customFormat="1" ht="15" customHeight="1" x14ac:dyDescent="0.25">
      <c r="C10" s="7"/>
      <c r="D10" s="11"/>
      <c r="E10" s="11"/>
      <c r="F10" s="11"/>
      <c r="G10" s="11"/>
      <c r="H10" s="11"/>
      <c r="I10" s="11"/>
      <c r="J10" s="11"/>
      <c r="K10" s="11"/>
      <c r="L10" s="11"/>
      <c r="M10" s="11"/>
      <c r="N10" s="11"/>
      <c r="O10" s="11"/>
      <c r="P10" s="11"/>
      <c r="Q10" s="11"/>
      <c r="R10" s="11"/>
      <c r="S10" s="11"/>
      <c r="T10" s="11"/>
      <c r="U10" s="11"/>
      <c r="Y10" s="101"/>
      <c r="Z10" s="76"/>
      <c r="AA10" s="76"/>
      <c r="AB10" s="76"/>
      <c r="AC10" s="76"/>
      <c r="AD10" s="76"/>
      <c r="AE10" s="76"/>
      <c r="AF10" s="76"/>
      <c r="AG10" s="76"/>
      <c r="AH10" s="76"/>
      <c r="AI10" s="102"/>
    </row>
    <row r="11" spans="3:39" s="2" customFormat="1" ht="15" customHeight="1" x14ac:dyDescent="0.25">
      <c r="C11" s="109">
        <v>2</v>
      </c>
      <c r="D11" s="96" t="str">
        <f>VLOOKUP("txt_taggeld_4",m_texte,v_sprachcode,FALSE)</f>
        <v>Aufgrund meines Gesundheitszustandes habe ich eine Ablehnung für meine beantragte Taggeldversicherung erhalten.</v>
      </c>
      <c r="E11" s="96"/>
      <c r="F11" s="96"/>
      <c r="G11" s="96"/>
      <c r="H11" s="96"/>
      <c r="I11" s="96"/>
      <c r="J11" s="96"/>
      <c r="K11" s="96"/>
      <c r="L11" s="96"/>
      <c r="M11" s="96"/>
      <c r="N11" s="96"/>
      <c r="O11" s="96"/>
      <c r="P11" s="96"/>
      <c r="Q11" s="96"/>
      <c r="R11" s="96"/>
      <c r="S11" s="96"/>
      <c r="T11" s="33"/>
      <c r="U11" s="28"/>
      <c r="V11" s="106"/>
      <c r="W11" s="107"/>
      <c r="Y11" s="103"/>
      <c r="Z11" s="104"/>
      <c r="AA11" s="104"/>
      <c r="AB11" s="104"/>
      <c r="AC11" s="104"/>
      <c r="AD11" s="104"/>
      <c r="AE11" s="104"/>
      <c r="AF11" s="104"/>
      <c r="AG11" s="104"/>
      <c r="AH11" s="104"/>
      <c r="AI11" s="105"/>
    </row>
    <row r="12" spans="3:39" s="2" customFormat="1" ht="15" customHeight="1" x14ac:dyDescent="0.25">
      <c r="C12" s="110"/>
      <c r="D12" s="97"/>
      <c r="E12" s="97"/>
      <c r="F12" s="97"/>
      <c r="G12" s="97"/>
      <c r="H12" s="97"/>
      <c r="I12" s="97"/>
      <c r="J12" s="97"/>
      <c r="K12" s="97"/>
      <c r="L12" s="97"/>
      <c r="M12" s="97"/>
      <c r="N12" s="97"/>
      <c r="O12" s="97"/>
      <c r="P12" s="97"/>
      <c r="Q12" s="97"/>
      <c r="R12" s="97"/>
      <c r="S12" s="97"/>
      <c r="T12" s="34"/>
      <c r="U12" s="30"/>
    </row>
    <row r="14" spans="3:39" s="2" customFormat="1" ht="15" customHeight="1" x14ac:dyDescent="0.25"/>
    <row r="15" spans="3:39" s="9" customFormat="1" ht="21" customHeight="1" x14ac:dyDescent="0.25">
      <c r="C15" s="9" t="str">
        <f>VLOOKUP("txt_taggeld_5",m_texte,v_sprachcode,FALSE)</f>
        <v>Kollektivkrankentaggeldversicherungen (KKTG) bei Erwerbseinkommen ausserhalb des Landwirtschaftsbetriebes</v>
      </c>
      <c r="AB15" s="26"/>
      <c r="AF15" s="19"/>
      <c r="AG15" s="19"/>
      <c r="AH15" s="19"/>
      <c r="AK15" s="2"/>
    </row>
    <row r="16" spans="3:39" s="2" customFormat="1" ht="15" customHeight="1" x14ac:dyDescent="0.25">
      <c r="C16" s="85" t="str">
        <f>VLOOKUP("Arbeitgeber",m_texte,v_sprachcode,FALSE)</f>
        <v>Arbeitgeber</v>
      </c>
      <c r="D16" s="111"/>
      <c r="E16" s="111"/>
      <c r="F16" s="111"/>
      <c r="G16" s="90" t="str">
        <f>VLOOKUP("Bruttojahreslohnsumme",m_texte,v_sprachcode,FALSE)</f>
        <v>Bruttojahreslohnsumme</v>
      </c>
      <c r="H16" s="91"/>
      <c r="I16" s="91"/>
      <c r="J16" s="92"/>
      <c r="K16" s="81" t="str">
        <f>VLOOKUP("KKTG vorhanden?",m_texte,v_sprachcode,FALSE)</f>
        <v>KKTG vorhanden?</v>
      </c>
      <c r="L16" s="82"/>
      <c r="M16" s="82"/>
      <c r="N16" s="85"/>
      <c r="O16" s="81" t="str">
        <f>VLOOKUP("Höhe in % des Lohnes",m_texte,v_sprachcode,FALSE)</f>
        <v>Höhe in % des Lohnes</v>
      </c>
      <c r="P16" s="82"/>
      <c r="Q16" s="82"/>
      <c r="R16" s="82"/>
      <c r="S16" s="111" t="str">
        <f>VLOOKUP("Deckung für",m_texte,v_sprachcode,FALSE)</f>
        <v>Deckung für</v>
      </c>
      <c r="T16" s="111"/>
      <c r="U16" s="111"/>
      <c r="V16" s="111"/>
      <c r="W16" s="111" t="str">
        <f>VLOOKUP("Höhe pro Tag",m_texte,v_sprachcode,FALSE)</f>
        <v>Höhe pro Tag</v>
      </c>
      <c r="X16" s="111"/>
      <c r="Y16" s="111"/>
      <c r="Z16" s="81" t="str">
        <f>VLOOKUP("Wartefrist in Tagen",m_texte,v_sprachcode,FALSE)</f>
        <v>Wartefrist in Tagen</v>
      </c>
      <c r="AA16" s="82"/>
      <c r="AB16" s="82"/>
      <c r="AC16" s="82"/>
    </row>
    <row r="17" spans="3:37" s="2" customFormat="1" ht="15" customHeight="1" x14ac:dyDescent="0.25">
      <c r="C17" s="88"/>
      <c r="D17" s="119"/>
      <c r="E17" s="119"/>
      <c r="F17" s="119"/>
      <c r="G17" s="93"/>
      <c r="H17" s="94"/>
      <c r="I17" s="94"/>
      <c r="J17" s="95"/>
      <c r="K17" s="78"/>
      <c r="L17" s="79"/>
      <c r="M17" s="79"/>
      <c r="N17" s="80"/>
      <c r="O17" s="83">
        <v>0.8</v>
      </c>
      <c r="P17" s="84"/>
      <c r="Q17" s="84"/>
      <c r="R17" s="84"/>
      <c r="S17" s="114" t="str">
        <f>VLOOKUP("Krankheit",m_texte,v_sprachcode,FALSE)</f>
        <v>Krankheit</v>
      </c>
      <c r="T17" s="115" t="s">
        <v>35</v>
      </c>
      <c r="U17" s="115" t="s">
        <v>35</v>
      </c>
      <c r="V17" s="116" t="s">
        <v>35</v>
      </c>
      <c r="W17" s="117">
        <f>ROUND(IF(K17=VLOOKUP("Ja",m_texte,v_sprachcode,FALSE),G17*O17/360,0),0)</f>
        <v>0</v>
      </c>
      <c r="X17" s="117"/>
      <c r="Y17" s="118"/>
      <c r="Z17" s="78">
        <v>30</v>
      </c>
      <c r="AA17" s="79"/>
      <c r="AB17" s="79"/>
      <c r="AC17" s="79"/>
    </row>
    <row r="18" spans="3:37" s="2" customFormat="1" ht="15" customHeight="1" x14ac:dyDescent="0.25">
      <c r="C18" s="80"/>
      <c r="D18" s="89"/>
      <c r="E18" s="89"/>
      <c r="F18" s="89"/>
      <c r="G18" s="93"/>
      <c r="H18" s="94"/>
      <c r="I18" s="94"/>
      <c r="J18" s="95"/>
      <c r="K18" s="78"/>
      <c r="L18" s="79"/>
      <c r="M18" s="79"/>
      <c r="N18" s="80"/>
      <c r="O18" s="83">
        <v>0.8</v>
      </c>
      <c r="P18" s="84"/>
      <c r="Q18" s="84"/>
      <c r="R18" s="84"/>
      <c r="S18" s="114" t="str">
        <f>VLOOKUP("Krankheit",m_texte,v_sprachcode,FALSE)</f>
        <v>Krankheit</v>
      </c>
      <c r="T18" s="115" t="s">
        <v>35</v>
      </c>
      <c r="U18" s="115" t="s">
        <v>35</v>
      </c>
      <c r="V18" s="116" t="s">
        <v>35</v>
      </c>
      <c r="W18" s="117">
        <f>ROUND(IF(K18=VLOOKUP("Ja",m_texte,v_sprachcode,FALSE),G18*O18/360,0),0)</f>
        <v>0</v>
      </c>
      <c r="X18" s="117"/>
      <c r="Y18" s="118"/>
      <c r="Z18" s="78">
        <v>30</v>
      </c>
      <c r="AA18" s="79"/>
      <c r="AB18" s="79"/>
      <c r="AC18" s="79"/>
    </row>
    <row r="19" spans="3:37" s="2" customFormat="1" ht="15" customHeight="1" x14ac:dyDescent="0.25"/>
    <row r="20" spans="3:37" s="2" customFormat="1" ht="15" customHeight="1" x14ac:dyDescent="0.25"/>
    <row r="21" spans="3:37" s="9" customFormat="1" ht="21" customHeight="1" x14ac:dyDescent="0.25">
      <c r="C21" s="9" t="str">
        <f>VLOOKUP("Sonstige, private Versicherungsleistungen",m_texte,v_sprachcode,FALSE)</f>
        <v>Sonstige, private Versicherungsleistungen</v>
      </c>
      <c r="AF21" s="19"/>
      <c r="AG21" s="19"/>
      <c r="AH21" s="19"/>
      <c r="AK21" s="2"/>
    </row>
    <row r="22" spans="3:37" s="13" customFormat="1" ht="15" customHeight="1" x14ac:dyDescent="0.25">
      <c r="C22" s="82" t="str">
        <f>VLOOKUP("Versicherer",m_texte,v_sprachcode,FALSE)</f>
        <v>Versicherer</v>
      </c>
      <c r="D22" s="82"/>
      <c r="E22" s="82"/>
      <c r="F22" s="82"/>
      <c r="G22" s="82"/>
      <c r="H22" s="82"/>
      <c r="I22" s="82"/>
      <c r="J22" s="85"/>
      <c r="K22" s="52" t="str">
        <f>VLOOKUP("Produktname/Produktbeschrieb",m_texte,v_sprachcode,FALSE)</f>
        <v>Produktname/Produktbeschrieb</v>
      </c>
      <c r="L22" s="51"/>
      <c r="M22" s="51"/>
      <c r="N22" s="51"/>
      <c r="O22" s="51"/>
      <c r="P22" s="51"/>
      <c r="Q22" s="50"/>
      <c r="R22" s="111" t="str">
        <f>VLOOKUP("Deckung für",m_texte,v_sprachcode,FALSE)</f>
        <v>Deckung für</v>
      </c>
      <c r="S22" s="111"/>
      <c r="T22" s="111"/>
      <c r="U22" s="111"/>
      <c r="V22" s="111" t="str">
        <f>VLOOKUP("Höhe pro Tag",m_texte,v_sprachcode,FALSE)</f>
        <v>Höhe pro Tag</v>
      </c>
      <c r="W22" s="111"/>
      <c r="X22" s="111"/>
      <c r="Y22" s="81" t="str">
        <f>VLOOKUP("Wartefrist in Tagen",m_texte,v_sprachcode,FALSE)</f>
        <v>Wartefrist in Tagen</v>
      </c>
      <c r="Z22" s="82"/>
      <c r="AA22" s="82"/>
      <c r="AB22" s="82"/>
    </row>
    <row r="23" spans="3:37" s="2" customFormat="1" ht="15" customHeight="1" x14ac:dyDescent="0.25">
      <c r="C23" s="79"/>
      <c r="D23" s="79"/>
      <c r="E23" s="79"/>
      <c r="F23" s="79"/>
      <c r="G23" s="79"/>
      <c r="H23" s="79"/>
      <c r="I23" s="79"/>
      <c r="J23" s="80"/>
      <c r="K23" s="86"/>
      <c r="L23" s="87"/>
      <c r="M23" s="87"/>
      <c r="N23" s="87"/>
      <c r="O23" s="87"/>
      <c r="P23" s="87"/>
      <c r="Q23" s="88"/>
      <c r="R23" s="78"/>
      <c r="S23" s="79"/>
      <c r="T23" s="79"/>
      <c r="U23" s="80"/>
      <c r="V23" s="113"/>
      <c r="W23" s="113"/>
      <c r="X23" s="93"/>
      <c r="Y23" s="78"/>
      <c r="Z23" s="79"/>
      <c r="AA23" s="79"/>
      <c r="AB23" s="79"/>
    </row>
    <row r="24" spans="3:37" s="2" customFormat="1" ht="15" customHeight="1" x14ac:dyDescent="0.25">
      <c r="C24" s="79"/>
      <c r="D24" s="79"/>
      <c r="E24" s="79"/>
      <c r="F24" s="79"/>
      <c r="G24" s="79"/>
      <c r="H24" s="79"/>
      <c r="I24" s="79"/>
      <c r="J24" s="80"/>
      <c r="K24" s="78"/>
      <c r="L24" s="79"/>
      <c r="M24" s="79"/>
      <c r="N24" s="79"/>
      <c r="O24" s="79"/>
      <c r="P24" s="79"/>
      <c r="Q24" s="80"/>
      <c r="R24" s="78"/>
      <c r="S24" s="79"/>
      <c r="T24" s="79"/>
      <c r="U24" s="80"/>
      <c r="V24" s="113"/>
      <c r="W24" s="113"/>
      <c r="X24" s="93"/>
      <c r="Y24" s="78"/>
      <c r="Z24" s="79"/>
      <c r="AA24" s="79"/>
      <c r="AB24" s="79"/>
    </row>
    <row r="25" spans="3:37" s="2" customFormat="1" ht="15" customHeight="1" x14ac:dyDescent="0.25">
      <c r="C25" s="79"/>
      <c r="D25" s="79"/>
      <c r="E25" s="79"/>
      <c r="F25" s="79"/>
      <c r="G25" s="79"/>
      <c r="H25" s="79"/>
      <c r="I25" s="79"/>
      <c r="J25" s="80"/>
      <c r="K25" s="78"/>
      <c r="L25" s="79"/>
      <c r="M25" s="79"/>
      <c r="N25" s="79"/>
      <c r="O25" s="79"/>
      <c r="P25" s="79"/>
      <c r="Q25" s="80"/>
      <c r="R25" s="78"/>
      <c r="S25" s="79"/>
      <c r="T25" s="79"/>
      <c r="U25" s="80"/>
      <c r="V25" s="113"/>
      <c r="W25" s="113"/>
      <c r="X25" s="93"/>
      <c r="Y25" s="78"/>
      <c r="Z25" s="79"/>
      <c r="AA25" s="79"/>
      <c r="AB25" s="79"/>
    </row>
    <row r="26" spans="3:37" x14ac:dyDescent="0.25">
      <c r="AF26" s="112" t="str">
        <f>VLOOKUP("Weiter zu Schritt 3",m_texte,v_sprachcode,FALSE)</f>
        <v>Weiter zu Schritt 3</v>
      </c>
      <c r="AG26" s="112"/>
      <c r="AH26" s="112"/>
      <c r="AI26" s="112"/>
    </row>
    <row r="27" spans="3:37" ht="15" customHeight="1" x14ac:dyDescent="0.25">
      <c r="C27" s="35">
        <v>3</v>
      </c>
      <c r="D27" s="120" t="str">
        <f>VLOOKUP("txt_taggeld_6",m_texte,v_sprachcode,FALSE)</f>
        <v>Wurden alle Angaben zu den Taggeldversicherungen erfasst?</v>
      </c>
      <c r="E27" s="120"/>
      <c r="F27" s="120"/>
      <c r="G27" s="120"/>
      <c r="H27" s="120"/>
      <c r="I27" s="120"/>
      <c r="J27" s="120"/>
      <c r="K27" s="120"/>
      <c r="L27" s="120"/>
      <c r="M27" s="120"/>
      <c r="N27" s="120"/>
      <c r="O27" s="120"/>
      <c r="P27" s="120"/>
      <c r="Q27" s="120"/>
      <c r="R27" s="120"/>
      <c r="S27" s="120"/>
      <c r="T27" s="120"/>
      <c r="U27" s="121"/>
      <c r="V27" s="106"/>
      <c r="W27" s="107"/>
      <c r="AF27" s="112"/>
      <c r="AG27" s="112"/>
      <c r="AH27" s="112"/>
      <c r="AI27" s="112"/>
    </row>
  </sheetData>
  <sheetProtection algorithmName="SHA-512" hashValue="Eqa3BHbGDxJOsVsgusthgwR0b7NDUjxR01rxGXOwmi+vW5lwKnrBt9tNWUqbiGEtcNdhMmkJHLc5Z9yo3zABsQ==" saltValue="DGUY9hxx+/qWqGxcrgs2qQ==" spinCount="100000" sheet="1" objects="1" scenarios="1"/>
  <mergeCells count="52">
    <mergeCell ref="C17:F17"/>
    <mergeCell ref="K17:N17"/>
    <mergeCell ref="D27:U27"/>
    <mergeCell ref="V27:W27"/>
    <mergeCell ref="Z16:AC16"/>
    <mergeCell ref="Z17:AC17"/>
    <mergeCell ref="Z18:AC18"/>
    <mergeCell ref="Y23:AB23"/>
    <mergeCell ref="Y24:AB24"/>
    <mergeCell ref="Y25:AB25"/>
    <mergeCell ref="Y22:AB22"/>
    <mergeCell ref="R25:U25"/>
    <mergeCell ref="V25:X25"/>
    <mergeCell ref="C16:F16"/>
    <mergeCell ref="S17:V17"/>
    <mergeCell ref="V23:X23"/>
    <mergeCell ref="R22:U22"/>
    <mergeCell ref="AF26:AI27"/>
    <mergeCell ref="V24:X24"/>
    <mergeCell ref="W16:Y16"/>
    <mergeCell ref="V22:X22"/>
    <mergeCell ref="R23:U23"/>
    <mergeCell ref="R24:U24"/>
    <mergeCell ref="S18:V18"/>
    <mergeCell ref="S16:V16"/>
    <mergeCell ref="W17:Y17"/>
    <mergeCell ref="W18:Y18"/>
    <mergeCell ref="C4:V5"/>
    <mergeCell ref="D8:S9"/>
    <mergeCell ref="D11:S12"/>
    <mergeCell ref="Y8:AI11"/>
    <mergeCell ref="V8:W8"/>
    <mergeCell ref="V11:W11"/>
    <mergeCell ref="AG4:AI5"/>
    <mergeCell ref="C8:C9"/>
    <mergeCell ref="C11:C12"/>
    <mergeCell ref="K18:N18"/>
    <mergeCell ref="O16:R16"/>
    <mergeCell ref="O17:R17"/>
    <mergeCell ref="O18:R18"/>
    <mergeCell ref="C25:J25"/>
    <mergeCell ref="K25:Q25"/>
    <mergeCell ref="C22:J22"/>
    <mergeCell ref="C23:J23"/>
    <mergeCell ref="K23:Q23"/>
    <mergeCell ref="C24:J24"/>
    <mergeCell ref="K24:Q24"/>
    <mergeCell ref="C18:F18"/>
    <mergeCell ref="G16:J16"/>
    <mergeCell ref="G17:J17"/>
    <mergeCell ref="G18:J18"/>
    <mergeCell ref="K16:N16"/>
  </mergeCells>
  <conditionalFormatting sqref="V8">
    <cfRule type="expression" dxfId="27" priority="22">
      <formula>V8=""</formula>
    </cfRule>
  </conditionalFormatting>
  <conditionalFormatting sqref="V11">
    <cfRule type="expression" dxfId="26" priority="21">
      <formula>V11=""</formula>
    </cfRule>
  </conditionalFormatting>
  <conditionalFormatting sqref="V27">
    <cfRule type="expression" dxfId="25" priority="4">
      <formula>AND(bln_taggeld_erforderlich,$V$27="")</formula>
    </cfRule>
  </conditionalFormatting>
  <conditionalFormatting sqref="Y23:AB25">
    <cfRule type="expression" dxfId="24" priority="1">
      <formula>AND($V23&gt;0,$Y23="")</formula>
    </cfRule>
  </conditionalFormatting>
  <conditionalFormatting sqref="Y8:AF8">
    <cfRule type="expression" dxfId="23" priority="19">
      <formula>NOT(bln_alle_antworten_2)</formula>
    </cfRule>
    <cfRule type="expression" dxfId="22" priority="20">
      <formula>AND(bln_taggeld_erforderlich,bln_alle_antworten_2)</formula>
    </cfRule>
  </conditionalFormatting>
  <conditionalFormatting sqref="Z17:AC18">
    <cfRule type="expression" dxfId="21" priority="33">
      <formula>AND($K17="Ja",$Z17="")</formula>
    </cfRule>
  </conditionalFormatting>
  <conditionalFormatting sqref="AF26">
    <cfRule type="expression" dxfId="20" priority="3">
      <formula>AND(NOT(bln_taggeld_erforderlich),bln_alle_antworten_2)</formula>
    </cfRule>
    <cfRule type="expression" dxfId="19" priority="16">
      <formula>AND(bln_taggeld_erforderlich,bln_step2_complete)</formula>
    </cfRule>
  </conditionalFormatting>
  <dataValidations count="2">
    <dataValidation type="list" allowBlank="1" showInputMessage="1" showErrorMessage="1" sqref="V8 V11 V27 K17:N18" xr:uid="{6A0ADBCE-6240-4E61-BB71-6A7AAC885CFE}">
      <formula1>l_janein</formula1>
    </dataValidation>
    <dataValidation type="list" allowBlank="1" showInputMessage="1" showErrorMessage="1" sqref="R23:R25" xr:uid="{975B9426-DBFD-455D-85B1-DB3C3C5934AE}">
      <formula1>l_deckung_k_u</formula1>
    </dataValidation>
  </dataValidations>
  <hyperlinks>
    <hyperlink ref="AF26:AI27" location="Risiko!A1" display="Weiter zu Schritt 3" xr:uid="{E68565DF-2446-4204-8484-6B4900F49597}"/>
    <hyperlink ref="AG4:AI5" location="Analysebogen!A1" display="zurück" xr:uid="{D21E0BB1-03EB-4A11-961D-03BC8101AEDD}"/>
  </hyperlinks>
  <pageMargins left="0.7" right="0.7" top="0.78740157499999996" bottom="0.78740157499999996"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4CF94-B30A-485F-8958-71A55AEE562D}">
  <sheetPr codeName="Tabelle5">
    <tabColor theme="4" tint="0.39997558519241921"/>
    <pageSetUpPr autoPageBreaks="0"/>
  </sheetPr>
  <dimension ref="C1:AK32"/>
  <sheetViews>
    <sheetView showGridLines="0" showRowColHeaders="0" workbookViewId="0"/>
  </sheetViews>
  <sheetFormatPr baseColWidth="10" defaultColWidth="11.42578125" defaultRowHeight="15" x14ac:dyDescent="0.25"/>
  <cols>
    <col min="1" max="2" width="1.7109375" style="12" customWidth="1"/>
    <col min="3" max="11" width="4.7109375" style="12" customWidth="1"/>
    <col min="12" max="17" width="5.7109375" style="12" customWidth="1"/>
    <col min="18" max="19" width="4.7109375" style="12" customWidth="1"/>
    <col min="20" max="22" width="5.7109375" style="12" customWidth="1"/>
    <col min="23" max="23" width="12.7109375" style="12" customWidth="1"/>
    <col min="24" max="35" width="4.7109375" style="12" customWidth="1"/>
    <col min="36" max="16384" width="11.42578125" style="12"/>
  </cols>
  <sheetData>
    <row r="1" spans="3:37" s="2" customFormat="1" ht="13.5" x14ac:dyDescent="0.25">
      <c r="C1" s="7"/>
    </row>
    <row r="2" spans="3:37" s="8" customFormat="1" ht="21" x14ac:dyDescent="0.25">
      <c r="C2" s="23" t="str">
        <f>VLOOKUP("Analyse DZV",m_texte,v_sprachcode,FALSE)</f>
        <v>Analyse Erfordernis Versicherungsschutz des Partners gemäss Direktzahlungsverordnung</v>
      </c>
      <c r="D2" s="24"/>
      <c r="E2" s="24"/>
      <c r="F2" s="24"/>
      <c r="G2" s="24"/>
      <c r="H2" s="24"/>
      <c r="I2" s="24"/>
      <c r="J2" s="24"/>
      <c r="K2" s="24"/>
      <c r="L2" s="24"/>
      <c r="M2" s="24"/>
      <c r="N2" s="24"/>
      <c r="O2" s="24"/>
      <c r="P2" s="24"/>
      <c r="Q2" s="24"/>
      <c r="R2" s="24"/>
      <c r="S2" s="24"/>
      <c r="T2" s="24"/>
      <c r="U2" s="24"/>
      <c r="V2" s="25"/>
      <c r="W2" s="25"/>
      <c r="X2" s="24"/>
      <c r="Y2" s="24"/>
      <c r="Z2" s="24"/>
      <c r="AA2" s="24"/>
      <c r="AB2" s="24"/>
      <c r="AC2" s="24"/>
      <c r="AD2" s="24"/>
      <c r="AE2" s="24"/>
      <c r="AF2" s="24"/>
      <c r="AG2" s="24"/>
      <c r="AH2" s="24"/>
      <c r="AI2" s="24"/>
      <c r="AJ2" s="24"/>
      <c r="AK2" s="24"/>
    </row>
    <row r="3" spans="3:37" s="2" customFormat="1" ht="13.5" x14ac:dyDescent="0.25">
      <c r="C3" s="7"/>
    </row>
    <row r="4" spans="3:37" s="2" customFormat="1" ht="15" customHeight="1" x14ac:dyDescent="0.25">
      <c r="C4" s="74" t="str">
        <f>VLOOKUP("txt_risiko_1",m_texte,v_sprachcode,FALSE)</f>
        <v>Die Fragen richten sich an den Partner des Bewirtschafters. Wird eine der beiden Fragen mit "Ja" beantwortet, ist für den Partner der Nachweis für einen Risikovorsorgeschutz nicht erforderlich.</v>
      </c>
      <c r="D4" s="74"/>
      <c r="E4" s="74"/>
      <c r="F4" s="74"/>
      <c r="G4" s="74"/>
      <c r="H4" s="74"/>
      <c r="I4" s="74"/>
      <c r="J4" s="74"/>
      <c r="K4" s="74"/>
      <c r="L4" s="74"/>
      <c r="M4" s="74"/>
      <c r="N4" s="74"/>
      <c r="O4" s="74"/>
      <c r="P4" s="74"/>
      <c r="Q4" s="74"/>
      <c r="R4" s="74"/>
      <c r="S4" s="74"/>
      <c r="T4" s="74"/>
      <c r="U4" s="74"/>
      <c r="V4" s="74"/>
      <c r="W4" s="17"/>
      <c r="AG4" s="108" t="str">
        <f>VLOOKUP("zurück",m_texte,v_sprachcode,FALSE)</f>
        <v>zurück</v>
      </c>
      <c r="AH4" s="108"/>
      <c r="AI4" s="108"/>
    </row>
    <row r="5" spans="3:37" s="2" customFormat="1" ht="13.5" x14ac:dyDescent="0.25">
      <c r="C5" s="74"/>
      <c r="D5" s="74"/>
      <c r="E5" s="74"/>
      <c r="F5" s="74"/>
      <c r="G5" s="74"/>
      <c r="H5" s="74"/>
      <c r="I5" s="74"/>
      <c r="J5" s="74"/>
      <c r="K5" s="74"/>
      <c r="L5" s="74"/>
      <c r="M5" s="74"/>
      <c r="N5" s="74"/>
      <c r="O5" s="74"/>
      <c r="P5" s="74"/>
      <c r="Q5" s="74"/>
      <c r="R5" s="74"/>
      <c r="S5" s="74"/>
      <c r="T5" s="74"/>
      <c r="U5" s="74"/>
      <c r="V5" s="74"/>
      <c r="W5" s="17"/>
      <c r="AG5" s="108"/>
      <c r="AH5" s="108"/>
      <c r="AI5" s="108"/>
    </row>
    <row r="6" spans="3:37" s="2" customFormat="1" ht="13.5" x14ac:dyDescent="0.25">
      <c r="C6" s="7"/>
    </row>
    <row r="7" spans="3:37" s="9" customFormat="1" ht="30" customHeight="1" x14ac:dyDescent="0.25">
      <c r="C7" s="9" t="str">
        <f>VLOOKUP("txt_risiko_2",m_texte,v_sprachcode,FALSE)</f>
        <v>Schritt 3: Beurteilung Versicherungsschutz – Risikovorsorge bei Invalidität und Tod</v>
      </c>
      <c r="AB7" s="2"/>
      <c r="AC7" s="2"/>
      <c r="AD7" s="2"/>
      <c r="AE7" s="2"/>
      <c r="AF7" s="2"/>
    </row>
    <row r="8" spans="3:37" s="2" customFormat="1" ht="15" customHeight="1" x14ac:dyDescent="0.25">
      <c r="C8" s="109">
        <v>1</v>
      </c>
      <c r="D8" s="96" t="str">
        <f>VLOOKUP("txt_risiko_3",m_texte,v_sprachcode,FALSE)</f>
        <v>Aufgrund meines Gesundheitszustandes habe ich innerhalb der letzten 5 Jahre einen Vorbehalt für meine beantragte Risikovorsorge erhalten.</v>
      </c>
      <c r="E8" s="96"/>
      <c r="F8" s="96"/>
      <c r="G8" s="96"/>
      <c r="H8" s="96"/>
      <c r="I8" s="96"/>
      <c r="J8" s="96"/>
      <c r="K8" s="96"/>
      <c r="L8" s="96"/>
      <c r="M8" s="96"/>
      <c r="N8" s="96"/>
      <c r="O8" s="96"/>
      <c r="P8" s="96"/>
      <c r="Q8" s="96"/>
      <c r="R8" s="96"/>
      <c r="S8" s="96"/>
      <c r="T8" s="33"/>
      <c r="U8" s="28"/>
      <c r="V8" s="106"/>
      <c r="W8" s="107"/>
      <c r="Y8" s="98" t="str">
        <f>IF(NOT(bln_alle_antworten_3),VLOOKUP("Bitte alle Fragen beantworten.",m_texte,v_sprachcode,FALSE),IF(bln_risiko_erforderlich,VLOOKUP("txt_risiko_6",m_texte,v_sprachcode,FALSE),VLOOKUP("txt_risiko_7",m_texte,v_sprachcode,FALSE)))</f>
        <v>Bitte alle Fragen beantworten.</v>
      </c>
      <c r="Z8" s="99"/>
      <c r="AA8" s="99"/>
      <c r="AB8" s="99"/>
      <c r="AC8" s="99"/>
      <c r="AD8" s="99"/>
      <c r="AE8" s="99"/>
      <c r="AF8" s="99"/>
      <c r="AG8" s="99"/>
      <c r="AH8" s="99"/>
      <c r="AI8" s="100"/>
    </row>
    <row r="9" spans="3:37" s="2" customFormat="1" ht="15" customHeight="1" x14ac:dyDescent="0.25">
      <c r="C9" s="110"/>
      <c r="D9" s="97"/>
      <c r="E9" s="97"/>
      <c r="F9" s="97"/>
      <c r="G9" s="97"/>
      <c r="H9" s="97"/>
      <c r="I9" s="97"/>
      <c r="J9" s="97"/>
      <c r="K9" s="97"/>
      <c r="L9" s="97"/>
      <c r="M9" s="97"/>
      <c r="N9" s="97"/>
      <c r="O9" s="97"/>
      <c r="P9" s="97"/>
      <c r="Q9" s="97"/>
      <c r="R9" s="97"/>
      <c r="S9" s="97"/>
      <c r="T9" s="34"/>
      <c r="U9" s="30"/>
      <c r="Y9" s="101"/>
      <c r="Z9" s="76"/>
      <c r="AA9" s="76"/>
      <c r="AB9" s="76"/>
      <c r="AC9" s="76"/>
      <c r="AD9" s="76"/>
      <c r="AE9" s="76"/>
      <c r="AF9" s="76"/>
      <c r="AG9" s="76"/>
      <c r="AH9" s="76"/>
      <c r="AI9" s="102"/>
    </row>
    <row r="10" spans="3:37" s="2" customFormat="1" ht="15" customHeight="1" x14ac:dyDescent="0.25">
      <c r="C10" s="7"/>
      <c r="D10" s="11"/>
      <c r="E10" s="11"/>
      <c r="F10" s="11"/>
      <c r="G10" s="11"/>
      <c r="H10" s="11"/>
      <c r="I10" s="11"/>
      <c r="J10" s="11"/>
      <c r="K10" s="11"/>
      <c r="L10" s="11"/>
      <c r="M10" s="11"/>
      <c r="N10" s="11"/>
      <c r="O10" s="11"/>
      <c r="P10" s="11"/>
      <c r="Q10" s="11"/>
      <c r="R10" s="11"/>
      <c r="S10" s="11"/>
      <c r="T10" s="11"/>
      <c r="U10" s="11"/>
      <c r="Y10" s="101"/>
      <c r="Z10" s="76"/>
      <c r="AA10" s="76"/>
      <c r="AB10" s="76"/>
      <c r="AC10" s="76"/>
      <c r="AD10" s="76"/>
      <c r="AE10" s="76"/>
      <c r="AF10" s="76"/>
      <c r="AG10" s="76"/>
      <c r="AH10" s="76"/>
      <c r="AI10" s="102"/>
    </row>
    <row r="11" spans="3:37" s="2" customFormat="1" ht="15" customHeight="1" x14ac:dyDescent="0.25">
      <c r="C11" s="109">
        <v>2</v>
      </c>
      <c r="D11" s="96" t="str">
        <f>VLOOKUP("txt_risiko_4",m_texte,v_sprachcode,FALSE)</f>
        <v>Aufgrund meines Gesundheitszustandes habe ich eine Ablehnung für meine beantragte Risikovorsorge erhalten.</v>
      </c>
      <c r="E11" s="96"/>
      <c r="F11" s="96"/>
      <c r="G11" s="96"/>
      <c r="H11" s="96"/>
      <c r="I11" s="96"/>
      <c r="J11" s="96"/>
      <c r="K11" s="96"/>
      <c r="L11" s="96"/>
      <c r="M11" s="96"/>
      <c r="N11" s="96"/>
      <c r="O11" s="96"/>
      <c r="P11" s="96"/>
      <c r="Q11" s="96"/>
      <c r="R11" s="96"/>
      <c r="S11" s="96"/>
      <c r="T11" s="33"/>
      <c r="U11" s="28"/>
      <c r="V11" s="106"/>
      <c r="W11" s="107"/>
      <c r="Y11" s="103"/>
      <c r="Z11" s="104"/>
      <c r="AA11" s="104"/>
      <c r="AB11" s="104"/>
      <c r="AC11" s="104"/>
      <c r="AD11" s="104"/>
      <c r="AE11" s="104"/>
      <c r="AF11" s="104"/>
      <c r="AG11" s="104"/>
      <c r="AH11" s="104"/>
      <c r="AI11" s="105"/>
    </row>
    <row r="12" spans="3:37" s="2" customFormat="1" ht="15" customHeight="1" x14ac:dyDescent="0.25">
      <c r="C12" s="110"/>
      <c r="D12" s="97"/>
      <c r="E12" s="97"/>
      <c r="F12" s="97"/>
      <c r="G12" s="97"/>
      <c r="H12" s="97"/>
      <c r="I12" s="97"/>
      <c r="J12" s="97"/>
      <c r="K12" s="97"/>
      <c r="L12" s="97"/>
      <c r="M12" s="97"/>
      <c r="N12" s="97"/>
      <c r="O12" s="97"/>
      <c r="P12" s="97"/>
      <c r="Q12" s="97"/>
      <c r="R12" s="97"/>
      <c r="S12" s="97"/>
      <c r="T12" s="34"/>
      <c r="U12" s="30"/>
    </row>
    <row r="15" spans="3:37" s="9" customFormat="1" ht="21" customHeight="1" x14ac:dyDescent="0.25">
      <c r="C15" s="9" t="str">
        <f>VLOOKUP("txt_risiko_5",m_texte,v_sprachcode,FALSE)</f>
        <v>Pensionskasse: Risikoleistungen aus Erwerbseinkommen ausserhalb des Landwirtschaftsbetriebes</v>
      </c>
      <c r="AC15" s="26"/>
      <c r="AF15" s="19"/>
      <c r="AG15" s="19"/>
      <c r="AH15" s="19"/>
      <c r="AK15" s="2"/>
    </row>
    <row r="16" spans="3:37" s="9" customFormat="1" ht="21" customHeight="1" x14ac:dyDescent="0.25">
      <c r="C16" s="62" t="str">
        <f>VLOOKUP("Hinweis: Rentenleistungen sind als Jahresrenten anzugeben.",m_texte,v_sprachcode,FALSE)</f>
        <v>Hinweis: Rentenleistungen sind als Jahresrenten anzugeben.</v>
      </c>
      <c r="AC16" s="26"/>
      <c r="AF16" s="19"/>
      <c r="AG16" s="19"/>
      <c r="AH16" s="19"/>
      <c r="AK16" s="2"/>
    </row>
    <row r="17" spans="3:35" x14ac:dyDescent="0.25">
      <c r="C17" s="82" t="str">
        <f>VLOOKUP("Pensionskasse",m_texte,v_sprachcode,FALSE)</f>
        <v>Pensionskasse</v>
      </c>
      <c r="D17" s="82"/>
      <c r="E17" s="82"/>
      <c r="F17" s="82"/>
      <c r="G17" s="82"/>
      <c r="H17" s="85"/>
      <c r="I17" s="111" t="str">
        <f>VLOOKUP("IV-Rente",m_texte,v_sprachcode,FALSE)</f>
        <v>IV-Rente</v>
      </c>
      <c r="J17" s="111"/>
      <c r="K17" s="111"/>
      <c r="L17" s="111" t="str">
        <f>VLOOKUP("Kinder IV-Rente",m_texte,v_sprachcode,FALSE)</f>
        <v>Kinder IV-Rente</v>
      </c>
      <c r="M17" s="111"/>
      <c r="N17" s="111"/>
      <c r="O17" s="111" t="str">
        <f>VLOOKUP("Hinterlass.-Rente",m_texte,v_sprachcode,FALSE)</f>
        <v>Hinterlass.-Rente</v>
      </c>
      <c r="P17" s="111"/>
      <c r="Q17" s="111"/>
      <c r="R17" s="111" t="str">
        <f>VLOOKUP("Waisen-Rente",m_texte,v_sprachcode,FALSE)</f>
        <v>Waisen-Rente</v>
      </c>
      <c r="S17" s="111"/>
      <c r="T17" s="111"/>
      <c r="U17" s="111" t="str">
        <f>VLOOKUP("Todesfall-Kapital",m_texte,v_sprachcode,FALSE)</f>
        <v>Todesfall-Kapital</v>
      </c>
      <c r="V17" s="111"/>
      <c r="W17" s="111"/>
      <c r="X17" s="124" t="str">
        <f>VLOOKUP("Todesfall-Kapital: Deckung für",m_texte,v_sprachcode,FALSE)</f>
        <v>Todesfall-Kapital: Deckung für</v>
      </c>
      <c r="Y17" s="125"/>
      <c r="Z17" s="125"/>
      <c r="AA17" s="125"/>
      <c r="AB17" s="125"/>
      <c r="AC17" s="125"/>
      <c r="AD17" s="125"/>
    </row>
    <row r="18" spans="3:35" x14ac:dyDescent="0.25">
      <c r="C18" s="79"/>
      <c r="D18" s="79"/>
      <c r="E18" s="79"/>
      <c r="F18" s="79"/>
      <c r="G18" s="79"/>
      <c r="H18" s="80"/>
      <c r="I18" s="122"/>
      <c r="J18" s="122"/>
      <c r="K18" s="123"/>
      <c r="L18" s="122"/>
      <c r="M18" s="122"/>
      <c r="N18" s="123"/>
      <c r="O18" s="122"/>
      <c r="P18" s="122"/>
      <c r="Q18" s="123"/>
      <c r="R18" s="122"/>
      <c r="S18" s="122"/>
      <c r="T18" s="123"/>
      <c r="U18" s="122"/>
      <c r="V18" s="122"/>
      <c r="W18" s="123"/>
      <c r="X18" s="126" t="str">
        <f>VLOOKUP("Krankheit und Unfall",m_texte,v_sprachcode,FALSE)</f>
        <v>Krankheit und Unfall</v>
      </c>
      <c r="Y18" s="127"/>
      <c r="Z18" s="127"/>
      <c r="AA18" s="127"/>
      <c r="AB18" s="127"/>
      <c r="AC18" s="127"/>
      <c r="AD18" s="127"/>
    </row>
    <row r="19" spans="3:35" x14ac:dyDescent="0.25">
      <c r="C19" s="79"/>
      <c r="D19" s="79"/>
      <c r="E19" s="79"/>
      <c r="F19" s="79"/>
      <c r="G19" s="79"/>
      <c r="H19" s="80"/>
      <c r="I19" s="113"/>
      <c r="J19" s="113"/>
      <c r="K19" s="93"/>
      <c r="L19" s="113"/>
      <c r="M19" s="113"/>
      <c r="N19" s="93"/>
      <c r="O19" s="113"/>
      <c r="P19" s="113"/>
      <c r="Q19" s="93"/>
      <c r="R19" s="113"/>
      <c r="S19" s="113"/>
      <c r="T19" s="93"/>
      <c r="U19" s="113"/>
      <c r="V19" s="113"/>
      <c r="W19" s="93"/>
      <c r="X19" s="126" t="str">
        <f>VLOOKUP("Krankheit und Unfall",m_texte,v_sprachcode,FALSE)</f>
        <v>Krankheit und Unfall</v>
      </c>
      <c r="Y19" s="127"/>
      <c r="Z19" s="127"/>
      <c r="AA19" s="127"/>
      <c r="AB19" s="127"/>
      <c r="AC19" s="127"/>
      <c r="AD19" s="127"/>
    </row>
    <row r="20" spans="3:35" x14ac:dyDescent="0.25">
      <c r="C20" s="79"/>
      <c r="D20" s="79"/>
      <c r="E20" s="79"/>
      <c r="F20" s="79"/>
      <c r="G20" s="79"/>
      <c r="H20" s="80"/>
      <c r="I20" s="113"/>
      <c r="J20" s="113"/>
      <c r="K20" s="93"/>
      <c r="L20" s="113"/>
      <c r="M20" s="113"/>
      <c r="N20" s="93"/>
      <c r="O20" s="113"/>
      <c r="P20" s="113"/>
      <c r="Q20" s="93"/>
      <c r="R20" s="113"/>
      <c r="S20" s="113"/>
      <c r="T20" s="93"/>
      <c r="U20" s="113"/>
      <c r="V20" s="113"/>
      <c r="W20" s="93"/>
      <c r="X20" s="126" t="str">
        <f>VLOOKUP("Krankheit und Unfall",m_texte,v_sprachcode,FALSE)</f>
        <v>Krankheit und Unfall</v>
      </c>
      <c r="Y20" s="127"/>
      <c r="Z20" s="127"/>
      <c r="AA20" s="127"/>
      <c r="AB20" s="127"/>
      <c r="AC20" s="127"/>
      <c r="AD20" s="127"/>
    </row>
    <row r="21" spans="3:35" x14ac:dyDescent="0.25">
      <c r="C21" s="2"/>
      <c r="D21" s="2"/>
      <c r="E21" s="2"/>
      <c r="F21" s="2"/>
      <c r="AB21" s="36"/>
    </row>
    <row r="22" spans="3:35" x14ac:dyDescent="0.25">
      <c r="C22" s="13" t="str">
        <f>VLOOKUP("Anzahl rentenberechtigte Kinder:",m_texte,v_sprachcode,FALSE)</f>
        <v>Anzahl rentenberechtigte Kinder:</v>
      </c>
      <c r="J22" s="37"/>
      <c r="V22" s="36"/>
    </row>
    <row r="23" spans="3:35" x14ac:dyDescent="0.25">
      <c r="C23" s="2"/>
      <c r="D23" s="2"/>
      <c r="E23" s="2"/>
      <c r="F23" s="2"/>
      <c r="AB23" s="36"/>
    </row>
    <row r="24" spans="3:35" s="9" customFormat="1" ht="21" customHeight="1" x14ac:dyDescent="0.25">
      <c r="C24" s="9" t="str">
        <f>VLOOKUP("Sonstige, private Versicherungsleistungen",m_texte,v_sprachcode,FALSE)</f>
        <v>Sonstige, private Versicherungsleistungen</v>
      </c>
      <c r="U24" s="26"/>
      <c r="V24" s="36"/>
      <c r="W24" s="12"/>
      <c r="X24" s="12"/>
      <c r="AE24" s="12"/>
    </row>
    <row r="25" spans="3:35" s="9" customFormat="1" ht="21" customHeight="1" x14ac:dyDescent="0.25">
      <c r="C25" s="62" t="str">
        <f>VLOOKUP("Hinweis: Rentenleistungen sind als Jahresrenten anzugeben.",m_texte,v_sprachcode,FALSE)</f>
        <v>Hinweis: Rentenleistungen sind als Jahresrenten anzugeben.</v>
      </c>
      <c r="U25" s="26"/>
      <c r="V25" s="36"/>
      <c r="W25" s="12"/>
      <c r="X25" s="12"/>
      <c r="AE25" s="12"/>
    </row>
    <row r="26" spans="3:35" ht="15" customHeight="1" x14ac:dyDescent="0.25">
      <c r="C26" s="82" t="str">
        <f>VLOOKUP("Versicherer",m_texte,v_sprachcode,FALSE)</f>
        <v>Versicherer</v>
      </c>
      <c r="D26" s="82"/>
      <c r="E26" s="82"/>
      <c r="F26" s="82"/>
      <c r="G26" s="82"/>
      <c r="H26" s="85"/>
      <c r="I26" s="111" t="str">
        <f>VLOOKUP("IV-Rente",m_texte,v_sprachcode,FALSE)</f>
        <v>IV-Rente</v>
      </c>
      <c r="J26" s="111"/>
      <c r="K26" s="111"/>
      <c r="L26" s="111" t="str">
        <f>VLOOKUP("IV-Kapital",m_texte,v_sprachcode,FALSE)</f>
        <v>IV-Kapital</v>
      </c>
      <c r="M26" s="111"/>
      <c r="N26" s="111"/>
      <c r="O26" s="81" t="str">
        <f>VLOOKUP("IV: Deckung für",m_texte,v_sprachcode,FALSE)</f>
        <v>IV: Deckung für</v>
      </c>
      <c r="P26" s="82"/>
      <c r="Q26" s="82"/>
      <c r="R26" s="82"/>
      <c r="S26" s="82"/>
      <c r="T26" s="111" t="str">
        <f>VLOOKUP("Hinterlass.-Rente",m_texte,v_sprachcode,FALSE)</f>
        <v>Hinterlass.-Rente</v>
      </c>
      <c r="U26" s="111"/>
      <c r="V26" s="111"/>
      <c r="W26" s="111" t="str">
        <f>VLOOKUP("Todesfall-Kapital",m_texte,v_sprachcode,FALSE)</f>
        <v>Todesfall-Kapital</v>
      </c>
      <c r="X26" s="111"/>
      <c r="Y26" s="111"/>
      <c r="Z26" s="81" t="str">
        <f>VLOOKUP("Todesfall: Deckung für",m_texte,v_sprachcode,FALSE)</f>
        <v>Todesfall: Deckung für</v>
      </c>
      <c r="AA26" s="82"/>
      <c r="AB26" s="82"/>
      <c r="AC26" s="82"/>
      <c r="AD26" s="82"/>
    </row>
    <row r="27" spans="3:35" x14ac:dyDescent="0.25">
      <c r="C27" s="79"/>
      <c r="D27" s="79"/>
      <c r="E27" s="79"/>
      <c r="F27" s="79"/>
      <c r="G27" s="79"/>
      <c r="H27" s="80"/>
      <c r="I27" s="122"/>
      <c r="J27" s="122"/>
      <c r="K27" s="123"/>
      <c r="L27" s="122"/>
      <c r="M27" s="122"/>
      <c r="N27" s="123"/>
      <c r="O27" s="78"/>
      <c r="P27" s="79"/>
      <c r="Q27" s="79"/>
      <c r="R27" s="79"/>
      <c r="S27" s="79"/>
      <c r="T27" s="122"/>
      <c r="U27" s="122"/>
      <c r="V27" s="123"/>
      <c r="W27" s="122"/>
      <c r="X27" s="122"/>
      <c r="Y27" s="123"/>
      <c r="Z27" s="78"/>
      <c r="AA27" s="79"/>
      <c r="AB27" s="79"/>
      <c r="AC27" s="79"/>
      <c r="AD27" s="79"/>
    </row>
    <row r="28" spans="3:35" x14ac:dyDescent="0.25">
      <c r="C28" s="79"/>
      <c r="D28" s="79"/>
      <c r="E28" s="79"/>
      <c r="F28" s="79"/>
      <c r="G28" s="79"/>
      <c r="H28" s="80"/>
      <c r="I28" s="122"/>
      <c r="J28" s="122"/>
      <c r="K28" s="123"/>
      <c r="L28" s="122"/>
      <c r="M28" s="122"/>
      <c r="N28" s="123"/>
      <c r="O28" s="78"/>
      <c r="P28" s="79"/>
      <c r="Q28" s="79"/>
      <c r="R28" s="79"/>
      <c r="S28" s="79"/>
      <c r="T28" s="122"/>
      <c r="U28" s="122"/>
      <c r="V28" s="123"/>
      <c r="W28" s="122"/>
      <c r="X28" s="122"/>
      <c r="Y28" s="123"/>
      <c r="Z28" s="78"/>
      <c r="AA28" s="79"/>
      <c r="AB28" s="79"/>
      <c r="AC28" s="79"/>
      <c r="AD28" s="79"/>
    </row>
    <row r="29" spans="3:35" x14ac:dyDescent="0.25">
      <c r="C29" s="79"/>
      <c r="D29" s="79"/>
      <c r="E29" s="79"/>
      <c r="F29" s="79"/>
      <c r="G29" s="79"/>
      <c r="H29" s="80"/>
      <c r="I29" s="113"/>
      <c r="J29" s="113"/>
      <c r="K29" s="93"/>
      <c r="L29" s="113"/>
      <c r="M29" s="113"/>
      <c r="N29" s="93"/>
      <c r="O29" s="78"/>
      <c r="P29" s="79"/>
      <c r="Q29" s="79"/>
      <c r="R29" s="79"/>
      <c r="S29" s="79"/>
      <c r="T29" s="122"/>
      <c r="U29" s="122"/>
      <c r="V29" s="123"/>
      <c r="W29" s="122"/>
      <c r="X29" s="122"/>
      <c r="Y29" s="123"/>
      <c r="Z29" s="78"/>
      <c r="AA29" s="79"/>
      <c r="AB29" s="79"/>
      <c r="AC29" s="79"/>
      <c r="AD29" s="79"/>
    </row>
    <row r="30" spans="3:35" x14ac:dyDescent="0.25">
      <c r="C30" s="79"/>
      <c r="D30" s="79"/>
      <c r="E30" s="79"/>
      <c r="F30" s="79"/>
      <c r="G30" s="79"/>
      <c r="H30" s="80"/>
      <c r="I30" s="113"/>
      <c r="J30" s="113"/>
      <c r="K30" s="93"/>
      <c r="L30" s="113"/>
      <c r="M30" s="113"/>
      <c r="N30" s="93"/>
      <c r="O30" s="78"/>
      <c r="P30" s="79"/>
      <c r="Q30" s="79"/>
      <c r="R30" s="79"/>
      <c r="S30" s="79"/>
      <c r="T30" s="113"/>
      <c r="U30" s="113"/>
      <c r="V30" s="93"/>
      <c r="W30" s="113"/>
      <c r="X30" s="113"/>
      <c r="Y30" s="93"/>
      <c r="Z30" s="78"/>
      <c r="AA30" s="79"/>
      <c r="AB30" s="79"/>
      <c r="AC30" s="79"/>
      <c r="AD30" s="79"/>
      <c r="AF30" s="77" t="str">
        <f>VLOOKUP("Weiter zur Auswertung",m_texte,v_sprachcode,FALSE)</f>
        <v>Weiter zur Auswertung</v>
      </c>
      <c r="AG30" s="77"/>
      <c r="AH30" s="77"/>
      <c r="AI30" s="77"/>
    </row>
    <row r="31" spans="3:35" x14ac:dyDescent="0.25">
      <c r="O31" s="2"/>
      <c r="V31" s="36"/>
      <c r="AF31" s="77"/>
      <c r="AG31" s="77"/>
      <c r="AH31" s="77"/>
      <c r="AI31" s="77"/>
    </row>
    <row r="32" spans="3:35" ht="15" customHeight="1" x14ac:dyDescent="0.25">
      <c r="C32" s="35">
        <v>3</v>
      </c>
      <c r="D32" s="120" t="str">
        <f>VLOOKUP("txt_risiko_8",m_texte,v_sprachcode,FALSE)</f>
        <v>Wurden alle Angaben zu den Risikoversicherungen erfasst?</v>
      </c>
      <c r="E32" s="120"/>
      <c r="F32" s="120"/>
      <c r="G32" s="120"/>
      <c r="H32" s="120"/>
      <c r="I32" s="120"/>
      <c r="J32" s="120"/>
      <c r="K32" s="120"/>
      <c r="L32" s="120"/>
      <c r="M32" s="120"/>
      <c r="N32" s="120"/>
      <c r="O32" s="120"/>
      <c r="P32" s="120"/>
      <c r="Q32" s="120"/>
      <c r="R32" s="120"/>
      <c r="S32" s="120"/>
      <c r="T32" s="120"/>
      <c r="U32" s="121"/>
      <c r="V32" s="128"/>
      <c r="W32" s="107"/>
      <c r="AF32" s="77"/>
      <c r="AG32" s="77"/>
      <c r="AH32" s="77"/>
      <c r="AI32" s="77"/>
    </row>
  </sheetData>
  <sheetProtection algorithmName="SHA-512" hashValue="zWAcIPW3pcjTK7NJ+A867CUfEGaAvlMsUYeLcJ+ELKEGI5B2EDyS3UqfNgGwBIyfUp9sxRKLmSqZNSOt03/MnQ==" saltValue="XseVy4x53oWTcVSazfADEw==" spinCount="100000" sheet="1" objects="1" scenarios="1"/>
  <mergeCells count="75">
    <mergeCell ref="AG4:AI5"/>
    <mergeCell ref="O27:S27"/>
    <mergeCell ref="O26:S26"/>
    <mergeCell ref="O28:S28"/>
    <mergeCell ref="O29:S29"/>
    <mergeCell ref="T29:V29"/>
    <mergeCell ref="O20:Q20"/>
    <mergeCell ref="R20:T20"/>
    <mergeCell ref="Z26:AD26"/>
    <mergeCell ref="Z27:AD27"/>
    <mergeCell ref="Z28:AD28"/>
    <mergeCell ref="Z29:AD29"/>
    <mergeCell ref="W26:Y26"/>
    <mergeCell ref="W27:Y27"/>
    <mergeCell ref="T26:V26"/>
    <mergeCell ref="T27:V27"/>
    <mergeCell ref="AF30:AI32"/>
    <mergeCell ref="C29:H29"/>
    <mergeCell ref="I30:K30"/>
    <mergeCell ref="D32:U32"/>
    <mergeCell ref="V32:W32"/>
    <mergeCell ref="T30:V30"/>
    <mergeCell ref="L29:N29"/>
    <mergeCell ref="W29:Y29"/>
    <mergeCell ref="L30:N30"/>
    <mergeCell ref="O30:S30"/>
    <mergeCell ref="Z30:AD30"/>
    <mergeCell ref="W30:Y30"/>
    <mergeCell ref="C30:H30"/>
    <mergeCell ref="T28:V28"/>
    <mergeCell ref="W28:Y28"/>
    <mergeCell ref="I29:K29"/>
    <mergeCell ref="L27:N27"/>
    <mergeCell ref="I17:K17"/>
    <mergeCell ref="I18:K18"/>
    <mergeCell ref="I20:K20"/>
    <mergeCell ref="L17:N17"/>
    <mergeCell ref="L18:N18"/>
    <mergeCell ref="L20:N20"/>
    <mergeCell ref="L19:N19"/>
    <mergeCell ref="I19:K19"/>
    <mergeCell ref="X19:AD19"/>
    <mergeCell ref="X20:AD20"/>
    <mergeCell ref="O19:Q19"/>
    <mergeCell ref="R19:T19"/>
    <mergeCell ref="X17:AD17"/>
    <mergeCell ref="X18:AD18"/>
    <mergeCell ref="C4:V5"/>
    <mergeCell ref="D8:S9"/>
    <mergeCell ref="D11:S12"/>
    <mergeCell ref="O18:Q18"/>
    <mergeCell ref="R17:T17"/>
    <mergeCell ref="R18:T18"/>
    <mergeCell ref="U17:W17"/>
    <mergeCell ref="U18:W18"/>
    <mergeCell ref="O17:Q17"/>
    <mergeCell ref="V8:W8"/>
    <mergeCell ref="V11:W11"/>
    <mergeCell ref="C8:C9"/>
    <mergeCell ref="C11:C12"/>
    <mergeCell ref="Y8:AI11"/>
    <mergeCell ref="I26:K26"/>
    <mergeCell ref="I27:K27"/>
    <mergeCell ref="I28:K28"/>
    <mergeCell ref="L28:N28"/>
    <mergeCell ref="C28:H28"/>
    <mergeCell ref="C27:H27"/>
    <mergeCell ref="L26:N26"/>
    <mergeCell ref="C26:H26"/>
    <mergeCell ref="U19:W19"/>
    <mergeCell ref="C19:H19"/>
    <mergeCell ref="C20:H20"/>
    <mergeCell ref="C17:H17"/>
    <mergeCell ref="C18:H18"/>
    <mergeCell ref="U20:W20"/>
  </mergeCells>
  <conditionalFormatting sqref="J22">
    <cfRule type="expression" dxfId="18" priority="7">
      <formula>AND(bln_risiko_erforderlich,$J$22="",$L$18&lt;&gt;"")</formula>
    </cfRule>
  </conditionalFormatting>
  <conditionalFormatting sqref="O27:O30">
    <cfRule type="expression" dxfId="17" priority="2">
      <formula>OR(AND($L27&gt;0,$O27=""),AND($I27&gt;0,$O27=""))</formula>
    </cfRule>
  </conditionalFormatting>
  <conditionalFormatting sqref="V8">
    <cfRule type="expression" dxfId="16" priority="9">
      <formula>V8=""</formula>
    </cfRule>
  </conditionalFormatting>
  <conditionalFormatting sqref="V11">
    <cfRule type="expression" dxfId="15" priority="8">
      <formula>V11=""</formula>
    </cfRule>
  </conditionalFormatting>
  <conditionalFormatting sqref="V32">
    <cfRule type="expression" dxfId="14" priority="11">
      <formula>AND(bln_risiko_erforderlich,$V$32="")</formula>
    </cfRule>
  </conditionalFormatting>
  <conditionalFormatting sqref="X18:X20">
    <cfRule type="expression" dxfId="13" priority="6">
      <formula>AND($U18&gt;0,$X18="")</formula>
    </cfRule>
  </conditionalFormatting>
  <conditionalFormatting sqref="Y8">
    <cfRule type="expression" dxfId="12" priority="17">
      <formula>NOT(bln_alle_antworten_3)</formula>
    </cfRule>
    <cfRule type="expression" dxfId="11" priority="18">
      <formula>AND(bln_risiko_erforderlich,bln_alle_antworten_3)</formula>
    </cfRule>
  </conditionalFormatting>
  <conditionalFormatting sqref="Z27:AD31">
    <cfRule type="expression" dxfId="10" priority="1">
      <formula>OR(AND($T27&gt;0,$Z27=""),AND($W27&gt;0,$Z27=""))</formula>
    </cfRule>
  </conditionalFormatting>
  <conditionalFormatting sqref="AF30:AF31">
    <cfRule type="expression" dxfId="9" priority="10">
      <formula>AND(NOT(bln_risiko_erforderlich),bln_alle_antworten_3)</formula>
    </cfRule>
    <cfRule type="expression" dxfId="8" priority="12">
      <formula>AND(bln_risiko_erforderlich,bln_step3_complete)</formula>
    </cfRule>
  </conditionalFormatting>
  <dataValidations disablePrompts="1" count="2">
    <dataValidation type="list" allowBlank="1" showInputMessage="1" showErrorMessage="1" sqref="V8 V11 V32" xr:uid="{84ED3D4D-B14A-47BD-8F3A-2E1C2A530850}">
      <formula1>l_janein</formula1>
    </dataValidation>
    <dataValidation type="list" allowBlank="1" showInputMessage="1" showErrorMessage="1" sqref="Z27:Z30 O27:O30" xr:uid="{B2515957-067D-4649-B946-E1F18400502B}">
      <formula1>l_deckung_k_u</formula1>
    </dataValidation>
  </dataValidations>
  <hyperlinks>
    <hyperlink ref="AF30:AI32" location="Nachweisformular!A1" display="Weiter zur Auswertung" xr:uid="{207B6DD2-7883-452C-9A81-F92B725DA5A7}"/>
    <hyperlink ref="AG4:AI5" location="Taggeld!A1" display="zurück" xr:uid="{251C2E32-AF8E-4A5E-901D-637D3E9479A4}"/>
  </hyperlinks>
  <pageMargins left="0.7" right="0.7" top="0.78740157499999996" bottom="0.78740157499999996"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17C9-54F4-47E2-8812-5A9856EA0830}">
  <sheetPr codeName="Tabelle8">
    <tabColor theme="4"/>
  </sheetPr>
  <dimension ref="B1:Z62"/>
  <sheetViews>
    <sheetView showGridLines="0" showRowColHeaders="0" workbookViewId="0"/>
  </sheetViews>
  <sheetFormatPr baseColWidth="10" defaultColWidth="11.42578125" defaultRowHeight="15" customHeight="1" x14ac:dyDescent="0.25"/>
  <cols>
    <col min="1" max="1" width="1.7109375" style="2" customWidth="1"/>
    <col min="2" max="20" width="4.7109375" style="2" customWidth="1"/>
    <col min="21" max="22" width="2.5703125" style="2" customWidth="1"/>
    <col min="23" max="16384" width="11.42578125" style="2"/>
  </cols>
  <sheetData>
    <row r="1" spans="2:26" ht="6" customHeight="1" x14ac:dyDescent="0.25"/>
    <row r="2" spans="2:26" ht="24" customHeight="1" x14ac:dyDescent="0.25">
      <c r="B2" s="44" t="str">
        <f>VLOOKUP("Nachweisformular",m_texte,v_sprachcode,FALSE)</f>
        <v>Nachweisformular</v>
      </c>
      <c r="T2" s="53" t="str">
        <f>Analysebogen!U4</f>
        <v>Version 1.22</v>
      </c>
      <c r="X2" s="54" t="str">
        <f>VLOOKUP("zurück",m_texte,v_sprachcode,FALSE)</f>
        <v>zurück</v>
      </c>
      <c r="Y2" s="54" t="str">
        <f>VLOOKUP("zurück",m_texte,v_sprachcode,FALSE)</f>
        <v>zurück</v>
      </c>
    </row>
    <row r="3" spans="2:26" ht="15" customHeight="1" x14ac:dyDescent="0.25">
      <c r="B3" s="2" t="str">
        <f>VLOOKUP("für den Versicherungsschutz Direktzahlungen",m_texte,v_sprachcode,FALSE)</f>
        <v>für den Versicherungsschutz Partner gemäss Direktzahlungsverordnung</v>
      </c>
    </row>
    <row r="4" spans="2:26" ht="6" customHeight="1" x14ac:dyDescent="0.25"/>
    <row r="5" spans="2:26" ht="15" customHeight="1" x14ac:dyDescent="0.25">
      <c r="B5" s="46" t="str">
        <f>VLOOKUP("Ersteller / Telefon",m_texte,v_sprachcode,FALSE)</f>
        <v>Ersteller / Telefon</v>
      </c>
      <c r="C5" s="46"/>
      <c r="D5" s="46"/>
      <c r="E5" s="46"/>
      <c r="F5" s="46"/>
      <c r="G5" s="140"/>
      <c r="H5" s="140"/>
      <c r="I5" s="140"/>
      <c r="J5" s="140"/>
      <c r="K5" s="140"/>
      <c r="L5" s="140"/>
      <c r="M5" s="46"/>
      <c r="N5" s="46"/>
      <c r="O5" s="141"/>
      <c r="P5" s="141"/>
      <c r="Q5" s="141"/>
      <c r="R5" s="141"/>
      <c r="S5" s="141"/>
      <c r="T5" s="141"/>
    </row>
    <row r="6" spans="2:26" ht="15" customHeight="1" x14ac:dyDescent="0.25">
      <c r="B6" s="45" t="str">
        <f>VLOOKUP("Organisation",m_texte,v_sprachcode,FALSE)</f>
        <v>Organisation</v>
      </c>
      <c r="C6" s="45"/>
      <c r="D6" s="45"/>
      <c r="E6" s="45"/>
      <c r="F6" s="45"/>
      <c r="G6" s="142"/>
      <c r="H6" s="142"/>
      <c r="I6" s="142"/>
      <c r="J6" s="142"/>
      <c r="K6" s="142"/>
      <c r="L6" s="142"/>
      <c r="M6" s="45"/>
      <c r="N6" s="45"/>
      <c r="O6" s="45"/>
      <c r="P6" s="45"/>
      <c r="Q6" s="45"/>
      <c r="R6" s="45"/>
      <c r="S6" s="45"/>
      <c r="T6" s="45"/>
      <c r="U6" s="47"/>
      <c r="V6" s="47"/>
      <c r="W6" s="47"/>
      <c r="X6" s="47"/>
      <c r="Y6" s="47"/>
      <c r="Z6" s="47"/>
    </row>
    <row r="7" spans="2:26" ht="6" customHeight="1" x14ac:dyDescent="0.25"/>
    <row r="8" spans="2:26" ht="15" customHeight="1" x14ac:dyDescent="0.25">
      <c r="B8" s="47"/>
      <c r="C8" s="47"/>
      <c r="D8" s="47"/>
      <c r="E8" s="47"/>
      <c r="F8" s="47"/>
      <c r="G8" s="13" t="str">
        <f>VLOOKUP("Bewirtschafter/in",m_texte,v_sprachcode,FALSE)</f>
        <v>Bewirtschafter/in</v>
      </c>
      <c r="O8" s="13" t="str">
        <f>VLOOKUP("Partner/in",m_texte,v_sprachcode,FALSE)</f>
        <v>Partner/in</v>
      </c>
    </row>
    <row r="9" spans="2:26" ht="15" customHeight="1" x14ac:dyDescent="0.25">
      <c r="B9" s="46" t="str">
        <f>VLOOKUP("Anrede",m_texte,v_sprachcode,FALSE)</f>
        <v>Anrede</v>
      </c>
      <c r="C9" s="46"/>
      <c r="D9" s="46"/>
      <c r="E9" s="46"/>
      <c r="F9" s="46"/>
      <c r="G9" s="87"/>
      <c r="H9" s="87"/>
      <c r="I9" s="87"/>
      <c r="O9" s="87"/>
      <c r="P9" s="87"/>
      <c r="Q9" s="87"/>
    </row>
    <row r="10" spans="2:26" ht="15" customHeight="1" x14ac:dyDescent="0.25">
      <c r="B10" s="45" t="str">
        <f>VLOOKUP("Name",m_texte,v_sprachcode,FALSE)</f>
        <v>Name</v>
      </c>
      <c r="C10" s="45"/>
      <c r="D10" s="45"/>
      <c r="E10" s="45"/>
      <c r="F10" s="45"/>
      <c r="G10" s="79"/>
      <c r="H10" s="79"/>
      <c r="I10" s="79"/>
      <c r="J10" s="79"/>
      <c r="K10" s="79"/>
      <c r="L10" s="79"/>
      <c r="M10" s="45"/>
      <c r="N10" s="45"/>
      <c r="O10" s="79"/>
      <c r="P10" s="79"/>
      <c r="Q10" s="79"/>
      <c r="R10" s="79"/>
      <c r="S10" s="79"/>
      <c r="T10" s="79"/>
    </row>
    <row r="11" spans="2:26" ht="15" customHeight="1" x14ac:dyDescent="0.25">
      <c r="B11" s="45" t="str">
        <f>VLOOKUP("Vorname",m_texte,v_sprachcode,FALSE)</f>
        <v>Vorname</v>
      </c>
      <c r="C11" s="45"/>
      <c r="D11" s="45"/>
      <c r="E11" s="45"/>
      <c r="F11" s="45"/>
      <c r="G11" s="79"/>
      <c r="H11" s="79"/>
      <c r="I11" s="79"/>
      <c r="J11" s="79"/>
      <c r="K11" s="79"/>
      <c r="L11" s="79"/>
      <c r="M11" s="45"/>
      <c r="N11" s="45"/>
      <c r="O11" s="79"/>
      <c r="P11" s="79"/>
      <c r="Q11" s="79"/>
      <c r="R11" s="79"/>
      <c r="S11" s="79"/>
      <c r="T11" s="79"/>
    </row>
    <row r="12" spans="2:26" ht="15" customHeight="1" x14ac:dyDescent="0.25">
      <c r="B12" s="45" t="str">
        <f>VLOOKUP("Adresse ",m_texte,v_sprachcode,FALSE)</f>
        <v xml:space="preserve">Adresse </v>
      </c>
      <c r="C12" s="45"/>
      <c r="D12" s="45"/>
      <c r="E12" s="45"/>
      <c r="F12" s="45"/>
      <c r="G12" s="79"/>
      <c r="H12" s="79"/>
      <c r="I12" s="79"/>
      <c r="J12" s="79"/>
      <c r="K12" s="79"/>
      <c r="L12" s="79"/>
      <c r="M12" s="45"/>
      <c r="N12" s="45"/>
      <c r="O12" s="79"/>
      <c r="P12" s="79"/>
      <c r="Q12" s="79"/>
      <c r="R12" s="79"/>
      <c r="S12" s="79"/>
      <c r="T12" s="79"/>
    </row>
    <row r="13" spans="2:26" ht="15" customHeight="1" x14ac:dyDescent="0.25">
      <c r="B13" s="45" t="str">
        <f>VLOOKUP("PLZ / Ort",m_texte,v_sprachcode,FALSE)</f>
        <v>PLZ / Ort</v>
      </c>
      <c r="C13" s="45"/>
      <c r="D13" s="45"/>
      <c r="E13" s="45"/>
      <c r="F13" s="45"/>
      <c r="G13" s="79"/>
      <c r="H13" s="79"/>
      <c r="I13" s="79"/>
      <c r="J13" s="79"/>
      <c r="K13" s="79"/>
      <c r="L13" s="79"/>
      <c r="M13" s="45"/>
      <c r="N13" s="45"/>
      <c r="O13" s="79"/>
      <c r="P13" s="79"/>
      <c r="Q13" s="79"/>
      <c r="R13" s="79"/>
      <c r="S13" s="79"/>
      <c r="T13" s="79"/>
    </row>
    <row r="14" spans="2:26" ht="15" customHeight="1" x14ac:dyDescent="0.25">
      <c r="B14" s="45" t="str">
        <f>VLOOKUP("Geburtsdatum",m_texte,v_sprachcode,FALSE)</f>
        <v>Geburtsdatum</v>
      </c>
      <c r="C14" s="45"/>
      <c r="D14" s="45"/>
      <c r="E14" s="45"/>
      <c r="F14" s="45"/>
      <c r="G14" s="45"/>
      <c r="H14" s="45"/>
      <c r="I14" s="45"/>
      <c r="J14" s="45"/>
      <c r="K14" s="45"/>
      <c r="L14" s="45"/>
      <c r="M14" s="45"/>
      <c r="N14" s="45"/>
      <c r="O14" s="132"/>
      <c r="P14" s="132"/>
      <c r="Q14" s="132"/>
    </row>
    <row r="15" spans="2:26" ht="3.75" customHeight="1" x14ac:dyDescent="0.25"/>
    <row r="16" spans="2:26" ht="15" customHeight="1" x14ac:dyDescent="0.25">
      <c r="B16" s="65" t="str">
        <f>VLOOKUP("Resulat Abklärung Versicherungsschutz",m_texte,v_sprachcode,FALSE)</f>
        <v>Resultat Abklärung Erfordernis Versicherungsschutz</v>
      </c>
      <c r="C16" s="48"/>
      <c r="D16" s="48"/>
      <c r="E16" s="48"/>
      <c r="F16" s="48"/>
      <c r="G16" s="48"/>
      <c r="H16" s="48"/>
      <c r="I16" s="48"/>
      <c r="J16" s="48"/>
      <c r="K16" s="48"/>
      <c r="L16" s="48"/>
      <c r="M16" s="48"/>
      <c r="N16" s="48"/>
      <c r="O16" s="48"/>
      <c r="P16" s="48"/>
      <c r="Q16" s="48"/>
      <c r="R16" s="48"/>
      <c r="S16" s="48"/>
      <c r="T16" s="48"/>
    </row>
    <row r="17" spans="2:20" ht="3" customHeight="1" x14ac:dyDescent="0.25"/>
    <row r="18" spans="2:20" ht="15" customHeight="1" x14ac:dyDescent="0.25">
      <c r="B18" s="2" t="str">
        <f>VLOOKUP("txt_nachweis_1",m_texte,v_sprachcode,FALSE)</f>
        <v xml:space="preserve">Partner vom Nachweis eines obligatorischen Versicherungsschutzes betroffen? </v>
      </c>
      <c r="S18" s="130" t="str">
        <f>IF(bln_nachweis_erforderlich,VLOOKUP("JA_gross",m_texte,v_sprachcode,FALSE),VLOOKUP("NEIN_gross",m_texte,v_sprachcode,FALSE))</f>
        <v>NEIN</v>
      </c>
      <c r="T18" s="131"/>
    </row>
    <row r="19" spans="2:20" ht="15" customHeight="1" x14ac:dyDescent="0.25">
      <c r="B19" s="138" t="str">
        <f>IF(bln_nachweis_erforderlich,VLOOKUP("txt_nachweis_9",m_texte,v_sprachcode,FALSE),VLOOKUP("Grund:",m_texte,v_sprachcode,FALSE)&amp;" "&amp;txt_meldung_nachweis)</f>
        <v>Grund: Nicht verheiratet oder keine eingetragene Partnerschaft|1972 oder früher geboren|Partner als Mitbewirtschafter im Kantonssystem erfasst|Steuererklärung: Keine Mitarbeit|Einkommen über Schwellenwert</v>
      </c>
      <c r="C19" s="138"/>
      <c r="D19" s="138"/>
      <c r="E19" s="138"/>
      <c r="F19" s="138"/>
      <c r="G19" s="138"/>
      <c r="H19" s="138"/>
      <c r="I19" s="138"/>
      <c r="J19" s="138"/>
      <c r="K19" s="138"/>
      <c r="L19" s="138"/>
      <c r="M19" s="138"/>
      <c r="N19" s="138"/>
      <c r="O19" s="138"/>
      <c r="P19" s="138"/>
      <c r="Q19" s="138"/>
      <c r="R19" s="66"/>
      <c r="S19" s="66"/>
      <c r="T19" s="66"/>
    </row>
    <row r="20" spans="2:20" ht="15" customHeight="1" x14ac:dyDescent="0.25">
      <c r="B20" s="138"/>
      <c r="C20" s="138"/>
      <c r="D20" s="138"/>
      <c r="E20" s="138"/>
      <c r="F20" s="138"/>
      <c r="G20" s="138"/>
      <c r="H20" s="138"/>
      <c r="I20" s="138"/>
      <c r="J20" s="138"/>
      <c r="K20" s="138"/>
      <c r="L20" s="138"/>
      <c r="M20" s="138"/>
      <c r="N20" s="138"/>
      <c r="O20" s="138"/>
      <c r="P20" s="138"/>
      <c r="Q20" s="138"/>
      <c r="R20" s="66"/>
      <c r="S20" s="66"/>
      <c r="T20" s="66"/>
    </row>
    <row r="21" spans="2:20" ht="3.75" customHeight="1" x14ac:dyDescent="0.25"/>
    <row r="22" spans="2:20" ht="15" customHeight="1" x14ac:dyDescent="0.25">
      <c r="B22" s="65" t="str">
        <f>VLOOKUP("Resulat Abklärung Taggeldversicherung",m_texte,v_sprachcode,FALSE)</f>
        <v>Resultat Abklärung Taggeldversicherung</v>
      </c>
      <c r="C22" s="48"/>
      <c r="D22" s="48"/>
      <c r="E22" s="48"/>
      <c r="F22" s="48"/>
      <c r="G22" s="48"/>
      <c r="H22" s="48"/>
      <c r="I22" s="48"/>
      <c r="J22" s="48"/>
      <c r="K22" s="48"/>
      <c r="L22" s="48"/>
      <c r="M22" s="48"/>
      <c r="N22" s="48"/>
      <c r="O22" s="48"/>
      <c r="P22" s="48"/>
      <c r="Q22" s="48"/>
      <c r="R22" s="48"/>
      <c r="S22" s="48"/>
      <c r="T22" s="48"/>
    </row>
    <row r="23" spans="2:20" ht="3" customHeight="1" x14ac:dyDescent="0.25"/>
    <row r="24" spans="2:20" ht="15" customHeight="1" x14ac:dyDescent="0.25">
      <c r="B24" s="2" t="str">
        <f>VLOOKUP("txt_nachweis_2",m_texte,v_sprachcode,FALSE)</f>
        <v>Ist der Nachweis über einen Taggeld-Mindestversicherungsschutz erforderlich?</v>
      </c>
      <c r="S24" s="130" t="str">
        <f>IF(bln_nachweis_erforderlich,IF(bln_taggeld_erforderlich,VLOOKUP("JA_gross",m_texte,v_sprachcode,FALSE),VLOOKUP("NEIN_gross",m_texte,v_sprachcode,FALSE)),VLOOKUP("NEIN_gross",m_texte,v_sprachcode,FALSE))</f>
        <v>NEIN</v>
      </c>
      <c r="T24" s="131"/>
    </row>
    <row r="25" spans="2:20" ht="12.75" customHeight="1" x14ac:dyDescent="0.25">
      <c r="B25" s="138" t="str">
        <f>IF(bln_nachweis_erforderlich,IF(bln_taggeld_erforderlich,VLOOKUP("txt_nachweis_10",m_texte,v_sprachcode,FALSE),VLOOKUP("Grund:",m_texte,v_sprachcode,FALSE)&amp;" "&amp;txt_meldung_nachweis_taggeld),"")</f>
        <v/>
      </c>
      <c r="C25" s="138"/>
      <c r="D25" s="138"/>
      <c r="E25" s="138"/>
      <c r="F25" s="138"/>
      <c r="G25" s="138"/>
      <c r="H25" s="138"/>
      <c r="I25" s="138"/>
      <c r="J25" s="138"/>
      <c r="K25" s="138"/>
      <c r="L25" s="138"/>
      <c r="M25" s="138"/>
      <c r="N25" s="138"/>
      <c r="O25" s="138"/>
      <c r="P25" s="138"/>
      <c r="Q25" s="138"/>
      <c r="R25" s="66"/>
      <c r="S25" s="66"/>
      <c r="T25" s="66"/>
    </row>
    <row r="26" spans="2:20" ht="12.75" customHeight="1" x14ac:dyDescent="0.25">
      <c r="B26" s="138"/>
      <c r="C26" s="138"/>
      <c r="D26" s="138"/>
      <c r="E26" s="138"/>
      <c r="F26" s="138"/>
      <c r="G26" s="138"/>
      <c r="H26" s="138"/>
      <c r="I26" s="138"/>
      <c r="J26" s="138"/>
      <c r="K26" s="138"/>
      <c r="L26" s="138"/>
      <c r="M26" s="138"/>
      <c r="N26" s="138"/>
      <c r="O26" s="138"/>
      <c r="P26" s="138"/>
      <c r="Q26" s="138"/>
      <c r="R26" s="66"/>
      <c r="S26" s="66"/>
      <c r="T26" s="66"/>
    </row>
    <row r="27" spans="2:20" ht="15" customHeight="1" x14ac:dyDescent="0.25">
      <c r="B27" s="2" t="str">
        <f>VLOOKUP("Vorhandener Taggeldschutz",m_texte,v_sprachcode,FALSE)</f>
        <v>Vorhandener Schutz Taggeldversicherung</v>
      </c>
      <c r="R27" s="139">
        <f>total_taggeld_anrechenbar</f>
        <v>0</v>
      </c>
      <c r="S27" s="139"/>
      <c r="T27" s="139"/>
    </row>
    <row r="28" spans="2:20" ht="15" customHeight="1" x14ac:dyDescent="0.25">
      <c r="B28" s="2" t="str">
        <f>VLOOKUP("Erforderlicher Taggeldschutz",m_texte,v_sprachcode,FALSE)</f>
        <v>Erforderlicher Schutz Taggeldversicherung</v>
      </c>
      <c r="R28" s="139">
        <v>100</v>
      </c>
      <c r="S28" s="139"/>
      <c r="T28" s="139"/>
    </row>
    <row r="29" spans="2:20" ht="15" customHeight="1" x14ac:dyDescent="0.25">
      <c r="B29" s="13" t="str">
        <f>VLOOKUP("txt_nachweis_3_1",m_texte,v_sprachcode,FALSE)</f>
        <v>Erforderlicher Taggeldschutz erfüllt?</v>
      </c>
      <c r="R29" s="133" t="str">
        <f>IF(AND(bln_nachweis_erforderlich,bln_taggeld_erforderlich),IF(bln_erfordernis_taggeld_erfuellt,VLOOKUP("JA_gross",m_texte,v_sprachcode,FALSE),VLOOKUP("NEIN_gross",m_texte,v_sprachcode,FALSE)),"")</f>
        <v/>
      </c>
      <c r="S29" s="134"/>
      <c r="T29" s="135"/>
    </row>
    <row r="30" spans="2:20" ht="15" customHeight="1" x14ac:dyDescent="0.25">
      <c r="B30" s="64" t="str">
        <f>VLOOKUP("txt_nachweis_3_2",m_texte,v_sprachcode,FALSE)</f>
        <v>(NEIN bedeutet Taggeldleistung zu tief oder Wartefrist zu hoch)</v>
      </c>
    </row>
    <row r="31" spans="2:20" ht="15" customHeight="1" x14ac:dyDescent="0.25">
      <c r="B31" s="65" t="str">
        <f>VLOOKUP("Resulat Abklärung Schutz bei Invalidität und Tod",m_texte,v_sprachcode,FALSE)</f>
        <v>Resultat Abklärung Risikovorsorge bei Invalidität und Tod</v>
      </c>
      <c r="C31" s="48"/>
      <c r="D31" s="48"/>
      <c r="E31" s="48"/>
      <c r="F31" s="48"/>
      <c r="G31" s="48"/>
      <c r="H31" s="48"/>
      <c r="I31" s="48"/>
      <c r="J31" s="48"/>
      <c r="K31" s="48"/>
      <c r="L31" s="48"/>
      <c r="M31" s="48"/>
      <c r="N31" s="48"/>
      <c r="O31" s="48"/>
      <c r="P31" s="48"/>
      <c r="Q31" s="48"/>
      <c r="R31" s="48"/>
      <c r="S31" s="48"/>
      <c r="T31" s="48"/>
    </row>
    <row r="32" spans="2:20" ht="3" customHeight="1" x14ac:dyDescent="0.25"/>
    <row r="33" spans="2:20" ht="15" customHeight="1" x14ac:dyDescent="0.25">
      <c r="B33" s="2" t="str">
        <f>VLOOKUP("txt_nachweis_4",m_texte,v_sprachcode,FALSE)</f>
        <v>Ist der Nachweis über einen Risiko-Mindestversicherungsschutz erforderlich?</v>
      </c>
      <c r="S33" s="130" t="str">
        <f>IF(bln_nachweis_erforderlich,IF(bln_risiko_erforderlich,VLOOKUP("JA_gross",m_texte,v_sprachcode,FALSE),VLOOKUP("NEIN_gross",m_texte,v_sprachcode,FALSE)),VLOOKUP("NEIN_gross",m_texte,v_sprachcode,FALSE))</f>
        <v>NEIN</v>
      </c>
      <c r="T33" s="131"/>
    </row>
    <row r="34" spans="2:20" ht="12.75" customHeight="1" x14ac:dyDescent="0.25">
      <c r="B34" s="138" t="str">
        <f>IF(bln_nachweis_erforderlich,IF(bln_risiko_erforderlich,VLOOKUP("txt_nachweis_11",m_texte,v_sprachcode,FALSE),VLOOKUP("Grund:",m_texte,v_sprachcode,FALSE)&amp;" "&amp;txt_meldung_nachweis_risiko),"")</f>
        <v/>
      </c>
      <c r="C34" s="138"/>
      <c r="D34" s="138"/>
      <c r="E34" s="138"/>
      <c r="F34" s="138"/>
      <c r="G34" s="138"/>
      <c r="H34" s="138"/>
      <c r="I34" s="138"/>
      <c r="J34" s="138"/>
      <c r="K34" s="138"/>
      <c r="L34" s="138"/>
      <c r="M34" s="138"/>
      <c r="N34" s="138"/>
      <c r="O34" s="138"/>
      <c r="P34" s="138"/>
      <c r="Q34" s="138"/>
      <c r="R34" s="138"/>
      <c r="S34" s="138"/>
      <c r="T34" s="138"/>
    </row>
    <row r="35" spans="2:20" ht="12.75" customHeight="1" x14ac:dyDescent="0.25">
      <c r="B35" s="138"/>
      <c r="C35" s="138"/>
      <c r="D35" s="138"/>
      <c r="E35" s="138"/>
      <c r="F35" s="138"/>
      <c r="G35" s="138"/>
      <c r="H35" s="138"/>
      <c r="I35" s="138"/>
      <c r="J35" s="138"/>
      <c r="K35" s="138"/>
      <c r="L35" s="138"/>
      <c r="M35" s="138"/>
      <c r="N35" s="138"/>
      <c r="O35" s="138"/>
      <c r="P35" s="138"/>
      <c r="Q35" s="138"/>
      <c r="R35" s="138"/>
      <c r="S35" s="138"/>
      <c r="T35" s="138"/>
    </row>
    <row r="36" spans="2:20" ht="3.75" customHeight="1" x14ac:dyDescent="0.25">
      <c r="B36" s="55"/>
      <c r="C36" s="55"/>
      <c r="D36" s="55"/>
      <c r="E36" s="55"/>
      <c r="F36" s="55"/>
      <c r="G36" s="55"/>
      <c r="H36" s="55"/>
      <c r="I36" s="55"/>
      <c r="J36" s="55"/>
      <c r="K36" s="55"/>
      <c r="L36" s="55"/>
      <c r="M36" s="55"/>
      <c r="N36" s="55"/>
      <c r="O36" s="55"/>
      <c r="P36" s="55"/>
      <c r="Q36" s="55"/>
      <c r="R36" s="55"/>
      <c r="S36" s="55"/>
      <c r="T36" s="55"/>
    </row>
    <row r="37" spans="2:20" ht="15" customHeight="1" x14ac:dyDescent="0.25">
      <c r="B37" s="16" t="str">
        <f>VLOOKUP("Invalidität",m_texte,v_sprachcode,FALSE)</f>
        <v>Invalidität</v>
      </c>
      <c r="C37" s="10"/>
      <c r="D37" s="10"/>
      <c r="E37" s="10"/>
      <c r="F37" s="10"/>
      <c r="G37" s="10"/>
      <c r="H37" s="10"/>
      <c r="I37" s="10"/>
      <c r="J37" s="10"/>
      <c r="K37" s="10"/>
      <c r="L37" s="10"/>
      <c r="M37" s="10"/>
      <c r="N37" s="10"/>
      <c r="O37" s="137" t="str">
        <f>VLOOKUP("Rente",m_texte,v_sprachcode,FALSE)</f>
        <v>Rente</v>
      </c>
      <c r="P37" s="137"/>
      <c r="Q37" s="137"/>
      <c r="R37" s="137" t="str">
        <f>VLOOKUP("Kapital",m_texte,v_sprachcode,FALSE)</f>
        <v>Kapital</v>
      </c>
      <c r="S37" s="137"/>
      <c r="T37" s="137"/>
    </row>
    <row r="38" spans="2:20" ht="15" customHeight="1" x14ac:dyDescent="0.25">
      <c r="B38" s="2" t="str">
        <f>VLOOKUP("Vorhandener Invaliditäts-Schutz",m_texte,v_sprachcode,FALSE)</f>
        <v>Vorhandener Invaliditäts-Schutz</v>
      </c>
      <c r="O38" s="139">
        <f>total_iv_rente_anrechenbar</f>
        <v>0</v>
      </c>
      <c r="P38" s="139"/>
      <c r="Q38" s="139"/>
      <c r="R38" s="139">
        <f>total_iv_kapital_anrechenbar</f>
        <v>0</v>
      </c>
      <c r="S38" s="139"/>
      <c r="T38" s="139"/>
    </row>
    <row r="39" spans="2:20" ht="15" customHeight="1" x14ac:dyDescent="0.25">
      <c r="B39" s="2" t="str">
        <f>VLOOKUP("Erforderlicher Invaliditäts-Schutz (Kombination möglich)",m_texte,v_sprachcode,FALSE)</f>
        <v>Erforderlicher Invaliditäts-Schutz (Kombination möglich)</v>
      </c>
      <c r="O39" s="139">
        <v>24000</v>
      </c>
      <c r="P39" s="139"/>
      <c r="Q39" s="139"/>
      <c r="R39" s="139">
        <v>300000</v>
      </c>
      <c r="S39" s="139"/>
      <c r="T39" s="139"/>
    </row>
    <row r="40" spans="2:20" ht="15" customHeight="1" x14ac:dyDescent="0.25">
      <c r="B40" s="2" t="str">
        <f>VLOOKUP("Deckung in %",m_texte,v_sprachcode,FALSE)</f>
        <v>Deckung in %</v>
      </c>
      <c r="O40" s="136">
        <f>O38/O39</f>
        <v>0</v>
      </c>
      <c r="P40" s="136"/>
      <c r="Q40" s="136"/>
      <c r="R40" s="136">
        <f>R38/R39</f>
        <v>0</v>
      </c>
      <c r="S40" s="136"/>
      <c r="T40" s="136"/>
    </row>
    <row r="41" spans="2:20" ht="15" customHeight="1" x14ac:dyDescent="0.25">
      <c r="B41" s="2" t="str">
        <f>VLOOKUP("Deckung TOTAL in %",m_texte,v_sprachcode,FALSE)</f>
        <v>Deckung TOTAL in %</v>
      </c>
      <c r="O41" s="136"/>
      <c r="P41" s="136"/>
      <c r="Q41" s="136"/>
      <c r="R41" s="136">
        <f>O40+R40</f>
        <v>0</v>
      </c>
      <c r="S41" s="136"/>
      <c r="T41" s="136"/>
    </row>
    <row r="42" spans="2:20" ht="15" customHeight="1" x14ac:dyDescent="0.25">
      <c r="B42" s="13" t="str">
        <f>VLOOKUP("txt_nachweis_5_1",m_texte,v_sprachcode,FALSE)</f>
        <v>Erforderlicher Risikoschutz "Invalidität" gesamthaft erfüllt?</v>
      </c>
      <c r="R42" s="133" t="str">
        <f>IF(AND(bln_nachweis_erforderlich,bln_risiko_erforderlich),IF(bln_erfordernis_iv_erfuellt,VLOOKUP("JA_gross",m_texte,v_sprachcode,FALSE),VLOOKUP("NEIN_gross",m_texte,v_sprachcode,FALSE)),"")</f>
        <v/>
      </c>
      <c r="S42" s="134"/>
      <c r="T42" s="135"/>
    </row>
    <row r="43" spans="2:20" ht="15" customHeight="1" x14ac:dyDescent="0.25">
      <c r="B43" s="64" t="str">
        <f>VLOOKUP("txt_nachweis_5_2",m_texte,v_sprachcode,FALSE)</f>
        <v>(NEIN bedeutet Invaliditätsleistung zu tief)</v>
      </c>
    </row>
    <row r="44" spans="2:20" ht="15" customHeight="1" x14ac:dyDescent="0.25">
      <c r="B44" s="16" t="str">
        <f>VLOOKUP("Tod",m_texte,v_sprachcode,FALSE)</f>
        <v>Tod</v>
      </c>
      <c r="C44" s="10"/>
      <c r="D44" s="10"/>
      <c r="E44" s="10"/>
      <c r="F44" s="10"/>
      <c r="G44" s="10"/>
      <c r="H44" s="10"/>
      <c r="I44" s="10"/>
      <c r="J44" s="10"/>
      <c r="K44" s="10"/>
      <c r="L44" s="10"/>
      <c r="M44" s="10"/>
      <c r="N44" s="10"/>
      <c r="O44" s="137" t="str">
        <f>VLOOKUP("Rente",m_texte,v_sprachcode,FALSE)</f>
        <v>Rente</v>
      </c>
      <c r="P44" s="137"/>
      <c r="Q44" s="137"/>
      <c r="R44" s="137" t="str">
        <f>VLOOKUP("Kapital",m_texte,v_sprachcode,FALSE)</f>
        <v>Kapital</v>
      </c>
      <c r="S44" s="137"/>
      <c r="T44" s="137"/>
    </row>
    <row r="45" spans="2:20" ht="15" customHeight="1" x14ac:dyDescent="0.25">
      <c r="B45" s="2" t="str">
        <f>VLOOKUP("Vorhandener Todesfall-Schutz",m_texte,v_sprachcode,FALSE)</f>
        <v>Vorhandener Todesfall-Schutz</v>
      </c>
      <c r="O45" s="139">
        <f>total_tod_rente_anrechenbar</f>
        <v>0</v>
      </c>
      <c r="P45" s="139"/>
      <c r="Q45" s="139"/>
      <c r="R45" s="139">
        <f>total_tod_kapital_anrechenbar</f>
        <v>0</v>
      </c>
      <c r="S45" s="139"/>
      <c r="T45" s="139"/>
    </row>
    <row r="46" spans="2:20" ht="15" customHeight="1" x14ac:dyDescent="0.25">
      <c r="B46" s="2" t="str">
        <f>VLOOKUP("Erforderlicher Todesfalls-Schutz (Kombination möglich)",m_texte,v_sprachcode,FALSE)</f>
        <v>Erforderlicher Todesfalls-Schutz (Kombination möglich)</v>
      </c>
      <c r="O46" s="139">
        <v>24000</v>
      </c>
      <c r="P46" s="139"/>
      <c r="Q46" s="139"/>
      <c r="R46" s="139">
        <v>300000</v>
      </c>
      <c r="S46" s="139"/>
      <c r="T46" s="139"/>
    </row>
    <row r="47" spans="2:20" ht="15" customHeight="1" x14ac:dyDescent="0.25">
      <c r="B47" s="2" t="str">
        <f>VLOOKUP("Deckung in %",m_texte,v_sprachcode,FALSE)</f>
        <v>Deckung in %</v>
      </c>
      <c r="O47" s="136">
        <f>O45/O46</f>
        <v>0</v>
      </c>
      <c r="P47" s="136"/>
      <c r="Q47" s="136"/>
      <c r="R47" s="136">
        <f>R45/R46</f>
        <v>0</v>
      </c>
      <c r="S47" s="136"/>
      <c r="T47" s="136"/>
    </row>
    <row r="48" spans="2:20" ht="15" customHeight="1" x14ac:dyDescent="0.25">
      <c r="B48" s="2" t="str">
        <f>VLOOKUP("Deckung TOTAL in %",m_texte,v_sprachcode,FALSE)</f>
        <v>Deckung TOTAL in %</v>
      </c>
      <c r="O48" s="136"/>
      <c r="P48" s="136"/>
      <c r="Q48" s="136"/>
      <c r="R48" s="136">
        <f>O47+R47</f>
        <v>0</v>
      </c>
      <c r="S48" s="136"/>
      <c r="T48" s="136"/>
    </row>
    <row r="49" spans="2:20" ht="15" customHeight="1" x14ac:dyDescent="0.25">
      <c r="B49" s="13" t="str">
        <f>VLOOKUP("txt_nachweis_6_1",m_texte,v_sprachcode,FALSE)</f>
        <v>Erforderlicher Risikoschutz "Tod" gesamthaft erfüllt?</v>
      </c>
      <c r="R49" s="133" t="str">
        <f>IF(AND(bln_nachweis_erforderlich,bln_risiko_erforderlich),IF(bln_erfordernis_tod_erfuellt,VLOOKUP("JA_gross",m_texte,v_sprachcode,FALSE),VLOOKUP("NEIN_gross",m_texte,v_sprachcode,FALSE)),"")</f>
        <v/>
      </c>
      <c r="S49" s="134"/>
      <c r="T49" s="135"/>
    </row>
    <row r="50" spans="2:20" ht="15" customHeight="1" x14ac:dyDescent="0.25">
      <c r="B50" s="64" t="str">
        <f>VLOOKUP("txt_nachweis_6_2",m_texte,v_sprachcode,FALSE)</f>
        <v>(NEIN bedeutet Todesfallleistung zu tief)</v>
      </c>
    </row>
    <row r="51" spans="2:20" ht="13.5" customHeight="1" x14ac:dyDescent="0.25">
      <c r="B51" s="70" t="str">
        <f>VLOOKUP("txt_nachweis_7",m_texte,v_sprachcode,FALSE)</f>
        <v xml:space="preserve">Wir bestätigen mit unseren Unterschriften die Korrektheit der gemachten Angaben. Wir sind uns bewusst, dass es sich um eine auf das aufgeführte Datum bezogene Momentaufnahme handelt. Massgebend sind ausschliesslich die Bestimmungen der Direktzahlungsverordnung sowie die Verhältnisse am 1.1. des Beitragsjahres. </v>
      </c>
      <c r="C51" s="70"/>
      <c r="D51" s="70"/>
      <c r="E51" s="70"/>
      <c r="F51" s="70"/>
      <c r="G51" s="70"/>
      <c r="H51" s="70"/>
      <c r="I51" s="70"/>
      <c r="J51" s="70"/>
      <c r="K51" s="70"/>
      <c r="L51" s="70"/>
      <c r="M51" s="70"/>
      <c r="N51" s="70"/>
      <c r="O51" s="70"/>
      <c r="P51" s="70"/>
      <c r="Q51" s="70"/>
      <c r="R51" s="70"/>
      <c r="S51" s="70"/>
      <c r="T51" s="70"/>
    </row>
    <row r="52" spans="2:20" ht="13.5" customHeight="1" x14ac:dyDescent="0.25">
      <c r="B52" s="70"/>
      <c r="C52" s="70"/>
      <c r="D52" s="70"/>
      <c r="E52" s="70"/>
      <c r="F52" s="70"/>
      <c r="G52" s="70"/>
      <c r="H52" s="70"/>
      <c r="I52" s="70"/>
      <c r="J52" s="70"/>
      <c r="K52" s="70"/>
      <c r="L52" s="70"/>
      <c r="M52" s="70"/>
      <c r="N52" s="70"/>
      <c r="O52" s="70"/>
      <c r="P52" s="70"/>
      <c r="Q52" s="70"/>
      <c r="R52" s="70"/>
      <c r="S52" s="70"/>
      <c r="T52" s="70"/>
    </row>
    <row r="53" spans="2:20" ht="13.5" customHeight="1" x14ac:dyDescent="0.25">
      <c r="B53" s="70"/>
      <c r="C53" s="70"/>
      <c r="D53" s="70"/>
      <c r="E53" s="70"/>
      <c r="F53" s="70"/>
      <c r="G53" s="70"/>
      <c r="H53" s="70"/>
      <c r="I53" s="70"/>
      <c r="J53" s="70"/>
      <c r="K53" s="70"/>
      <c r="L53" s="70"/>
      <c r="M53" s="70"/>
      <c r="N53" s="70"/>
      <c r="O53" s="70"/>
      <c r="P53" s="70"/>
      <c r="Q53" s="70"/>
      <c r="R53" s="70"/>
      <c r="S53" s="70"/>
      <c r="T53" s="70"/>
    </row>
    <row r="55" spans="2:20" ht="15" customHeight="1" x14ac:dyDescent="0.25">
      <c r="B55" s="49"/>
      <c r="C55" s="49"/>
      <c r="D55" s="49"/>
      <c r="E55" s="49"/>
      <c r="F55" s="49"/>
      <c r="G55" s="49"/>
      <c r="H55" s="49"/>
      <c r="I55" s="49"/>
      <c r="J55" s="49"/>
      <c r="L55" s="49"/>
      <c r="M55" s="49"/>
      <c r="N55" s="49"/>
      <c r="O55" s="49"/>
      <c r="P55" s="49"/>
      <c r="Q55" s="49"/>
      <c r="R55" s="49"/>
      <c r="S55" s="49"/>
      <c r="T55" s="49"/>
    </row>
    <row r="56" spans="2:20" ht="15" customHeight="1" x14ac:dyDescent="0.25">
      <c r="B56" s="2" t="str">
        <f>VLOOKUP("Datum / Unterschrift Bewirtschafter/in",m_texte,v_sprachcode,FALSE)</f>
        <v>Datum / Unterschrift Bewirtschafter/in</v>
      </c>
      <c r="L56" s="2" t="str">
        <f>VLOOKUP("Datum / Unterschrift Partner/in",m_texte,v_sprachcode,FALSE)</f>
        <v>Datum / Unterschrift Partner/in</v>
      </c>
    </row>
    <row r="57" spans="2:20" ht="3.75" customHeight="1" x14ac:dyDescent="0.25"/>
    <row r="58" spans="2:20" ht="13.5" customHeight="1" x14ac:dyDescent="0.25">
      <c r="B58" s="129" t="str">
        <f>VLOOKUP("txt_nachweis_8",m_texte,v_sprachcode,FALSE)</f>
        <v>Disclaimer: Das vorliegende Formular ist eine toolunterstützte Selbstdeklaration. Die Agrisano, als Toolentwicklerin, sowie der Ersteller (falls abweichend vom Bewirtschafter/Partner) übernehmen keinerlei Garantie für Vollständigkeit sowie Korrektheit der gemachten Angaben respektive für das auf dem Nachweisformular dargestellte Resultat. Es wird empfohlen, die Beurteilung jährlich vorzunehmen und das Nachweisformular zu aktualisieren.</v>
      </c>
      <c r="C58" s="129"/>
      <c r="D58" s="129"/>
      <c r="E58" s="129"/>
      <c r="F58" s="129"/>
      <c r="G58" s="129"/>
      <c r="H58" s="129"/>
      <c r="I58" s="129"/>
      <c r="J58" s="129"/>
      <c r="K58" s="129"/>
      <c r="L58" s="129"/>
      <c r="M58" s="129"/>
      <c r="N58" s="129"/>
      <c r="O58" s="129"/>
      <c r="P58" s="129"/>
      <c r="Q58" s="129"/>
      <c r="R58" s="129"/>
      <c r="S58" s="129"/>
      <c r="T58" s="129"/>
    </row>
    <row r="59" spans="2:20" ht="13.5" customHeight="1" x14ac:dyDescent="0.25">
      <c r="B59" s="129"/>
      <c r="C59" s="129"/>
      <c r="D59" s="129"/>
      <c r="E59" s="129"/>
      <c r="F59" s="129"/>
      <c r="G59" s="129"/>
      <c r="H59" s="129"/>
      <c r="I59" s="129"/>
      <c r="J59" s="129"/>
      <c r="K59" s="129"/>
      <c r="L59" s="129"/>
      <c r="M59" s="129"/>
      <c r="N59" s="129"/>
      <c r="O59" s="129"/>
      <c r="P59" s="129"/>
      <c r="Q59" s="129"/>
      <c r="R59" s="129"/>
      <c r="S59" s="129"/>
      <c r="T59" s="129"/>
    </row>
    <row r="60" spans="2:20" ht="13.5" customHeight="1" x14ac:dyDescent="0.25">
      <c r="B60" s="129"/>
      <c r="C60" s="129"/>
      <c r="D60" s="129"/>
      <c r="E60" s="129"/>
      <c r="F60" s="129"/>
      <c r="G60" s="129"/>
      <c r="H60" s="129"/>
      <c r="I60" s="129"/>
      <c r="J60" s="129"/>
      <c r="K60" s="129"/>
      <c r="L60" s="129"/>
      <c r="M60" s="129"/>
      <c r="N60" s="129"/>
      <c r="O60" s="129"/>
      <c r="P60" s="129"/>
      <c r="Q60" s="129"/>
      <c r="R60" s="129"/>
      <c r="S60" s="129"/>
      <c r="T60" s="129"/>
    </row>
    <row r="61" spans="2:20" ht="3.75" customHeight="1" x14ac:dyDescent="0.25"/>
    <row r="62" spans="2:20" ht="6" customHeight="1" x14ac:dyDescent="0.25"/>
  </sheetData>
  <sheetProtection algorithmName="SHA-512" hashValue="rZ6MWVdrR8Eavlz3axZMBWlrRHvuKs9TAgUt9+Wo3D1m7W9DoZWMdkEWHbZMZzs9MM35ne3SkrEWqAkpq54ItQ==" saltValue="3lDZIoZdJb2cQx7ZaxT1tQ==" spinCount="100000" sheet="1" objects="1" scenarios="1"/>
  <mergeCells count="47">
    <mergeCell ref="G5:L5"/>
    <mergeCell ref="O5:T5"/>
    <mergeCell ref="G6:L6"/>
    <mergeCell ref="R27:T27"/>
    <mergeCell ref="R28:T28"/>
    <mergeCell ref="B25:Q26"/>
    <mergeCell ref="B19:Q20"/>
    <mergeCell ref="B34:T35"/>
    <mergeCell ref="R49:T49"/>
    <mergeCell ref="O47:Q47"/>
    <mergeCell ref="R38:T38"/>
    <mergeCell ref="R39:T39"/>
    <mergeCell ref="R42:T42"/>
    <mergeCell ref="R37:T37"/>
    <mergeCell ref="O46:Q46"/>
    <mergeCell ref="R46:T46"/>
    <mergeCell ref="O40:Q40"/>
    <mergeCell ref="O45:Q45"/>
    <mergeCell ref="R45:T45"/>
    <mergeCell ref="O37:Q37"/>
    <mergeCell ref="O38:Q38"/>
    <mergeCell ref="O39:Q39"/>
    <mergeCell ref="R40:T40"/>
    <mergeCell ref="B51:T53"/>
    <mergeCell ref="R47:T47"/>
    <mergeCell ref="O48:Q48"/>
    <mergeCell ref="R48:T48"/>
    <mergeCell ref="R41:T41"/>
    <mergeCell ref="O44:Q44"/>
    <mergeCell ref="R44:T44"/>
    <mergeCell ref="O41:Q41"/>
    <mergeCell ref="B58:T60"/>
    <mergeCell ref="G9:I9"/>
    <mergeCell ref="G10:L10"/>
    <mergeCell ref="G11:L11"/>
    <mergeCell ref="G12:L12"/>
    <mergeCell ref="G13:L13"/>
    <mergeCell ref="O9:Q9"/>
    <mergeCell ref="O10:T10"/>
    <mergeCell ref="O11:T11"/>
    <mergeCell ref="O12:T12"/>
    <mergeCell ref="O13:T13"/>
    <mergeCell ref="S18:T18"/>
    <mergeCell ref="S24:T24"/>
    <mergeCell ref="O14:Q14"/>
    <mergeCell ref="R29:T29"/>
    <mergeCell ref="S33:T33"/>
  </mergeCells>
  <conditionalFormatting sqref="R29:T29">
    <cfRule type="expression" dxfId="7" priority="7">
      <formula>AND(bln_nachweis_erforderlich,bln_erfordernis_taggeld_erfuellt,bln_taggeld_erforderlich)</formula>
    </cfRule>
    <cfRule type="expression" dxfId="6" priority="8">
      <formula>AND(bln_nachweis_erforderlich,NOT(bln_erfordernis_taggeld_erfuellt),bln_taggeld_erforderlich)</formula>
    </cfRule>
  </conditionalFormatting>
  <conditionalFormatting sqref="R42:T42">
    <cfRule type="expression" dxfId="5" priority="5">
      <formula>AND(bln_nachweis_erforderlich,bln_erfordernis_iv_erfuellt,bln_risiko_erforderlich)</formula>
    </cfRule>
    <cfRule type="expression" dxfId="4" priority="6">
      <formula>AND(bln_nachweis_erforderlich,NOT(bln_erfordernis_iv_erfuellt),bln_risiko_erforderlich)</formula>
    </cfRule>
  </conditionalFormatting>
  <conditionalFormatting sqref="R49:T49">
    <cfRule type="expression" dxfId="3" priority="3">
      <formula>AND(bln_nachweis_erforderlich,bln_erfordernis_tod_erfuellt,bln_risiko_erforderlich)</formula>
    </cfRule>
    <cfRule type="expression" dxfId="2" priority="4">
      <formula>AND(bln_nachweis_erforderlich,NOT(bln_erfordernis_tod_erfuellt),bln_risiko_erforderlich)</formula>
    </cfRule>
  </conditionalFormatting>
  <conditionalFormatting sqref="X2">
    <cfRule type="expression" dxfId="1" priority="2">
      <formula>bln_nachweis_erforderlich</formula>
    </cfRule>
  </conditionalFormatting>
  <conditionalFormatting sqref="Y2">
    <cfRule type="expression" dxfId="0" priority="1">
      <formula>NOT(bln_nachweis_erforderlich)</formula>
    </cfRule>
  </conditionalFormatting>
  <hyperlinks>
    <hyperlink ref="X2" location="Risiko!A1" display="zurück" xr:uid="{44D08D8D-BC47-4C2E-A0D3-8A9D9E56B801}"/>
    <hyperlink ref="Y2" location="Analysebogen!A1" display="zurück" xr:uid="{C2821B8C-01EC-4CB3-9EF0-85B40D94E54F}"/>
  </hyperlinks>
  <pageMargins left="0.39370078740157483" right="0.39370078740157483" top="0.27559055118110237" bottom="0.19685039370078741" header="0.27559055118110237" footer="0.27559055118110237"/>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66</vt:i4>
      </vt:variant>
    </vt:vector>
  </HeadingPairs>
  <TitlesOfParts>
    <vt:vector size="75" baseType="lpstr">
      <vt:lpstr>Listenbereiche</vt:lpstr>
      <vt:lpstr>Berechnungen</vt:lpstr>
      <vt:lpstr>Werte</vt:lpstr>
      <vt:lpstr>Texte</vt:lpstr>
      <vt:lpstr>Intro</vt:lpstr>
      <vt:lpstr>Analysebogen</vt:lpstr>
      <vt:lpstr>Taggeld</vt:lpstr>
      <vt:lpstr>Risiko</vt:lpstr>
      <vt:lpstr>Nachweisformular</vt:lpstr>
      <vt:lpstr>bln_alle_antworten_1</vt:lpstr>
      <vt:lpstr>bln_alle_antworten_2</vt:lpstr>
      <vt:lpstr>bln_alle_antworten_2_a_d</vt:lpstr>
      <vt:lpstr>bln_alle_antworten_3</vt:lpstr>
      <vt:lpstr>bln_erfordernis_iv_erfuellt</vt:lpstr>
      <vt:lpstr>bln_erfordernis_taggeld_erfuellt</vt:lpstr>
      <vt:lpstr>bln_erfordernis_tod_erfuellt</vt:lpstr>
      <vt:lpstr>bln_nachweis_erforderlich</vt:lpstr>
      <vt:lpstr>bln_risiko_erforderlich</vt:lpstr>
      <vt:lpstr>bln_step2_complete</vt:lpstr>
      <vt:lpstr>bln_step3_complete</vt:lpstr>
      <vt:lpstr>bln_taggeld_erforderlich</vt:lpstr>
      <vt:lpstr>Analysebogen!Druckbereich</vt:lpstr>
      <vt:lpstr>Nachweisformular!Druckbereich</vt:lpstr>
      <vt:lpstr>f_anz_kinder</vt:lpstr>
      <vt:lpstr>f_frage_1</vt:lpstr>
      <vt:lpstr>f_frage_10</vt:lpstr>
      <vt:lpstr>f_frage_11</vt:lpstr>
      <vt:lpstr>f_frage_12</vt:lpstr>
      <vt:lpstr>f_frage_2</vt:lpstr>
      <vt:lpstr>f_frage_3</vt:lpstr>
      <vt:lpstr>f_frage_4</vt:lpstr>
      <vt:lpstr>f_frage_5</vt:lpstr>
      <vt:lpstr>f_frage_6</vt:lpstr>
      <vt:lpstr>f_frage_7</vt:lpstr>
      <vt:lpstr>f_frage_8</vt:lpstr>
      <vt:lpstr>f_frage_9</vt:lpstr>
      <vt:lpstr>f_sprache</vt:lpstr>
      <vt:lpstr>f_step2_complete</vt:lpstr>
      <vt:lpstr>f_step3_complete</vt:lpstr>
      <vt:lpstr>l_deckung_k_u</vt:lpstr>
      <vt:lpstr>l_janein</vt:lpstr>
      <vt:lpstr>l_sprache</vt:lpstr>
      <vt:lpstr>m_texte</vt:lpstr>
      <vt:lpstr>total_iv_kapital_anrechenbar</vt:lpstr>
      <vt:lpstr>total_iv_rente_anrechenbar</vt:lpstr>
      <vt:lpstr>total_taggeld_anrechenbar</vt:lpstr>
      <vt:lpstr>total_tod_kapital_anrechenbar</vt:lpstr>
      <vt:lpstr>total_tod_rente_anrechenbar</vt:lpstr>
      <vt:lpstr>txt_analyse_bem_1</vt:lpstr>
      <vt:lpstr>txt_analyse_bem_2</vt:lpstr>
      <vt:lpstr>txt_analyse_bem_3</vt:lpstr>
      <vt:lpstr>txt_analyse_bem_4</vt:lpstr>
      <vt:lpstr>txt_meldung_nachweis</vt:lpstr>
      <vt:lpstr>txt_meldung_nachweis_risiko</vt:lpstr>
      <vt:lpstr>txt_meldung_nachweis_taggeld</vt:lpstr>
      <vt:lpstr>txt_risiko_bem_1</vt:lpstr>
      <vt:lpstr>txt_risiko_bem_2</vt:lpstr>
      <vt:lpstr>txt_taggeld_bem_1</vt:lpstr>
      <vt:lpstr>v_frage_1</vt:lpstr>
      <vt:lpstr>v_frage_10</vt:lpstr>
      <vt:lpstr>v_frage_11</vt:lpstr>
      <vt:lpstr>v_frage_12</vt:lpstr>
      <vt:lpstr>v_frage_2</vt:lpstr>
      <vt:lpstr>v_frage_3</vt:lpstr>
      <vt:lpstr>v_frage_4</vt:lpstr>
      <vt:lpstr>v_frage_5</vt:lpstr>
      <vt:lpstr>v_frage_6</vt:lpstr>
      <vt:lpstr>v_frage_7</vt:lpstr>
      <vt:lpstr>v_frage_8</vt:lpstr>
      <vt:lpstr>v_frage_9</vt:lpstr>
      <vt:lpstr>v_resultat_fragen_1</vt:lpstr>
      <vt:lpstr>v_resultat_fragen_2</vt:lpstr>
      <vt:lpstr>v_resultat_fragen_3</vt:lpstr>
      <vt:lpstr>v_sprachcode</vt:lpstr>
      <vt:lpstr>v_sprache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Tobias Stolz</dc:creator>
  <cp:lastModifiedBy>Tobias Stolz</cp:lastModifiedBy>
  <cp:lastPrinted>2026-04-16T07:25:26Z</cp:lastPrinted>
  <dcterms:created xsi:type="dcterms:W3CDTF">2025-10-17T08:33:07Z</dcterms:created>
  <dcterms:modified xsi:type="dcterms:W3CDTF">2026-06-25T15:37:23Z</dcterms:modified>
</cp:coreProperties>
</file>